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5.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6.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7.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8.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9.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10.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drawings/drawing11.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12.xml" ContentType="application/vnd.openxmlformats-officedocument.drawingml.chartshapes+xml"/>
  <Override PartName="/xl/charts/chart51.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codeName="ThisWorkbook" defaultThemeVersion="124226"/>
  <mc:AlternateContent xmlns:mc="http://schemas.openxmlformats.org/markup-compatibility/2006">
    <mc:Choice Requires="x15">
      <x15ac:absPath xmlns:x15ac="http://schemas.microsoft.com/office/spreadsheetml/2010/11/ac" url="E:\UNIDO\SwitchMed II\TEST Toolkit INTERFACE\"/>
    </mc:Choice>
  </mc:AlternateContent>
  <xr:revisionPtr revIDLastSave="0" documentId="13_ncr:1_{B1D48E08-9CF5-43F9-96C0-0D8177D2C28E}" xr6:coauthVersionLast="43" xr6:coauthVersionMax="43" xr10:uidLastSave="{00000000-0000-0000-0000-000000000000}"/>
  <bookViews>
    <workbookView xWindow="-120" yWindow="-120" windowWidth="20730" windowHeight="11160" tabRatio="465" firstSheet="12" activeTab="14" xr2:uid="{00000000-000D-0000-FFFF-FFFF00000000}"/>
  </bookViews>
  <sheets>
    <sheet name="How-to" sheetId="125" r:id="rId1"/>
    <sheet name="Start" sheetId="117" r:id="rId2"/>
    <sheet name="Electricity" sheetId="1" r:id="rId3"/>
    <sheet name="Natural Gas" sheetId="4" r:id="rId4"/>
    <sheet name="LPG" sheetId="5" r:id="rId5"/>
    <sheet name="Oil" sheetId="6" r:id="rId6"/>
    <sheet name="Sum" sheetId="8" r:id="rId7"/>
    <sheet name="KPI" sheetId="11" r:id="rId8"/>
    <sheet name="Mapping" sheetId="13" r:id="rId9"/>
    <sheet name="Annual" sheetId="118" r:id="rId10"/>
    <sheet name="Details" sheetId="120" r:id="rId11"/>
    <sheet name="Instruction GHG calculator" sheetId="126" r:id="rId12"/>
    <sheet name="GHG Calculator" sheetId="127" r:id="rId13"/>
    <sheet name="CO2 from electricity" sheetId="128" r:id="rId14"/>
    <sheet name="(Electricity)" sheetId="38" r:id="rId15"/>
    <sheet name="(Natural Gas)" sheetId="53" r:id="rId16"/>
    <sheet name="(LPG)" sheetId="58" r:id="rId17"/>
    <sheet name="(Oil)" sheetId="62" r:id="rId18"/>
    <sheet name="(Sum)" sheetId="104" r:id="rId19"/>
    <sheet name="(Sum_Pies)" sheetId="105" r:id="rId20"/>
    <sheet name="(Mapping)" sheetId="14" r:id="rId21"/>
    <sheet name="(KPI)" sheetId="116" r:id="rId22"/>
    <sheet name="(Annual)" sheetId="119" r:id="rId23"/>
    <sheet name="(Details)" sheetId="124" r:id="rId24"/>
  </sheets>
  <externalReferences>
    <externalReference r:id="rId25"/>
  </externalReferences>
  <definedNames>
    <definedName name="DataSources">OFFSET([1]Sources!$F$2,1,0,COUNTA([1]Sources!$F$2:$F$52)-COUNTBLANK([1]Sources!$F$2:$F$52)-1,1)</definedName>
    <definedName name="FuelComment">OFFSET([1]Sources!$H$2,1,0,COUNTA([1]Sources!$H$2:$H$52)-COUNTBLANK([1]Sources!$H$2:$H$52)-1,1)</definedName>
    <definedName name="green">Electricity!$CE$10:$CE$11</definedName>
    <definedName name="List1">Mapping!$F$87:$F$99</definedName>
    <definedName name="List2">Mapping!$H$87:$H$99</definedName>
    <definedName name="List3">Mapping!$J$87:$J$99</definedName>
    <definedName name="List4">Mapping!$L$87:$L$91</definedName>
    <definedName name="List5">Mapping!$N$87:$N$92</definedName>
    <definedName name="List6">Mapping!$P$87:$P$91</definedName>
    <definedName name="oiltype">Start!$D$24:$D$26</definedName>
    <definedName name="_xlnm.Print_Area" localSheetId="14">'(Electricity)'!$A$1:$J$143</definedName>
    <definedName name="_xlnm.Print_Area" localSheetId="9">Annual!$A$1:$AB$31</definedName>
    <definedName name="_xlnm.Print_Area" localSheetId="10">Details!$A$1:$Q$80</definedName>
    <definedName name="_xlnm.Print_Area" localSheetId="2">Electricity!$A$1:$AI$28</definedName>
    <definedName name="_xlnm.Print_Area" localSheetId="7">KPI!$A$1:$AH$39</definedName>
    <definedName name="_xlnm.Print_Area" localSheetId="4">LPG!$A$1:$X$28</definedName>
    <definedName name="_xlnm.Print_Area" localSheetId="8">Mapping!$A$1:$X$100</definedName>
    <definedName name="_xlnm.Print_Area" localSheetId="3">'Natural Gas'!$A$1:$N$28</definedName>
    <definedName name="_xlnm.Print_Area" localSheetId="5">Oil!$A$1:$X$28</definedName>
    <definedName name="_xlnm.Print_Area" localSheetId="1">Start!$B$1:$R$41</definedName>
    <definedName name="_xlnm.Print_Area" localSheetId="6">Sum!$A$3:$T$30</definedName>
    <definedName name="_xlnm.Print_Titles" localSheetId="10">Details!$B:$E,Details!#REF!</definedName>
    <definedName name="_xlnm.Print_Titles" localSheetId="2">Electricity!$B:$I,Electricity!#REF!</definedName>
    <definedName name="_xlnm.Print_Titles" localSheetId="7">KPI!$B:$H,KPI!$1:$1</definedName>
    <definedName name="_xlnm.Print_Titles" localSheetId="4">LPG!$B:$H,LPG!#REF!</definedName>
    <definedName name="_xlnm.Print_Titles" localSheetId="3">'Natural Gas'!$B:$I</definedName>
    <definedName name="_xlnm.Print_Titles" localSheetId="5">Oil!$B:$H,Oil!#REF!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21" i="1" l="1"/>
  <c r="U20" i="1"/>
  <c r="U19" i="1"/>
  <c r="U18" i="1"/>
  <c r="U17" i="1"/>
  <c r="U16" i="1"/>
  <c r="U15" i="1"/>
  <c r="U14" i="1"/>
  <c r="U13" i="1"/>
  <c r="U12" i="1"/>
  <c r="U11" i="1"/>
  <c r="U10" i="1"/>
  <c r="O21" i="1"/>
  <c r="M21" i="1"/>
  <c r="K21" i="1"/>
  <c r="K20" i="1"/>
  <c r="O20" i="1" s="1"/>
  <c r="K19" i="1"/>
  <c r="O19" i="1" s="1"/>
  <c r="O18" i="1"/>
  <c r="K18" i="1"/>
  <c r="M18" i="1" s="1"/>
  <c r="O17" i="1"/>
  <c r="M17" i="1"/>
  <c r="K17" i="1"/>
  <c r="K16" i="1"/>
  <c r="O16" i="1" s="1"/>
  <c r="K15" i="1"/>
  <c r="O15" i="1" s="1"/>
  <c r="O14" i="1"/>
  <c r="K14" i="1"/>
  <c r="M14" i="1" s="1"/>
  <c r="O13" i="1"/>
  <c r="M13" i="1"/>
  <c r="K13" i="1"/>
  <c r="K12" i="1"/>
  <c r="O12" i="1" s="1"/>
  <c r="K11" i="1"/>
  <c r="O11" i="1" s="1"/>
  <c r="O10" i="1"/>
  <c r="K10" i="1"/>
  <c r="M10" i="1" s="1"/>
  <c r="M12" i="1" l="1"/>
  <c r="M16" i="1"/>
  <c r="M20" i="1"/>
  <c r="M11" i="1"/>
  <c r="M15" i="1"/>
  <c r="M19" i="1"/>
  <c r="G9" i="128"/>
  <c r="G7" i="128"/>
  <c r="G5" i="128"/>
  <c r="G3" i="128"/>
  <c r="D84" i="127"/>
  <c r="D83" i="127"/>
  <c r="D82" i="127"/>
  <c r="D81" i="127"/>
  <c r="D80" i="127"/>
  <c r="D79" i="127"/>
  <c r="D78" i="127"/>
  <c r="D77" i="127"/>
  <c r="D76" i="127"/>
  <c r="D75" i="127"/>
  <c r="D74" i="127"/>
  <c r="D73" i="127"/>
  <c r="D72" i="127"/>
  <c r="D71" i="127"/>
  <c r="D70" i="127"/>
  <c r="D69" i="127"/>
  <c r="D68" i="127"/>
  <c r="D67" i="127"/>
  <c r="D66" i="127"/>
  <c r="D65" i="127"/>
  <c r="D64" i="127"/>
  <c r="D63" i="127"/>
  <c r="D62" i="127"/>
  <c r="D61" i="127"/>
  <c r="D60" i="127"/>
  <c r="H54" i="127"/>
  <c r="G54" i="127"/>
  <c r="D53" i="127"/>
  <c r="H53" i="127" s="1"/>
  <c r="C53" i="127"/>
  <c r="G53" i="127" s="1"/>
  <c r="D52" i="127"/>
  <c r="H52" i="127" s="1"/>
  <c r="C52" i="127"/>
  <c r="G52" i="127" s="1"/>
  <c r="D51" i="127"/>
  <c r="H51" i="127" s="1"/>
  <c r="C51" i="127"/>
  <c r="G51" i="127" s="1"/>
  <c r="H49" i="127"/>
  <c r="G49" i="127"/>
  <c r="D48" i="127"/>
  <c r="H48" i="127" s="1"/>
  <c r="C48" i="127"/>
  <c r="G48" i="127" s="1"/>
  <c r="D47" i="127"/>
  <c r="H47" i="127" s="1"/>
  <c r="C47" i="127"/>
  <c r="G47" i="127" s="1"/>
  <c r="D46" i="127"/>
  <c r="H46" i="127" s="1"/>
  <c r="C46" i="127"/>
  <c r="G46" i="127" s="1"/>
  <c r="D45" i="127"/>
  <c r="H45" i="127" s="1"/>
  <c r="C45" i="127"/>
  <c r="G45" i="127" s="1"/>
  <c r="D44" i="127"/>
  <c r="H44" i="127" s="1"/>
  <c r="C44" i="127"/>
  <c r="G44" i="127" s="1"/>
  <c r="D43" i="127"/>
  <c r="H43" i="127" s="1"/>
  <c r="C43" i="127"/>
  <c r="G43" i="127" s="1"/>
  <c r="D42" i="127"/>
  <c r="H42" i="127" s="1"/>
  <c r="C42" i="127"/>
  <c r="G42" i="127" s="1"/>
  <c r="D41" i="127"/>
  <c r="H41" i="127" s="1"/>
  <c r="C41" i="127"/>
  <c r="G41" i="127" s="1"/>
  <c r="D40" i="127"/>
  <c r="H40" i="127" s="1"/>
  <c r="C40" i="127"/>
  <c r="G40" i="127" s="1"/>
  <c r="D39" i="127"/>
  <c r="H39" i="127" s="1"/>
  <c r="C39" i="127"/>
  <c r="G39" i="127" s="1"/>
  <c r="H37" i="127"/>
  <c r="G37" i="127"/>
  <c r="D36" i="127"/>
  <c r="H36" i="127" s="1"/>
  <c r="C36" i="127"/>
  <c r="G36" i="127" s="1"/>
  <c r="D35" i="127"/>
  <c r="H35" i="127" s="1"/>
  <c r="C35" i="127"/>
  <c r="G35" i="127" s="1"/>
  <c r="D34" i="127"/>
  <c r="H34" i="127" s="1"/>
  <c r="C34" i="127"/>
  <c r="G34" i="127" s="1"/>
  <c r="D33" i="127"/>
  <c r="H33" i="127" s="1"/>
  <c r="C33" i="127"/>
  <c r="G33" i="127" s="1"/>
  <c r="D32" i="127"/>
  <c r="H32" i="127" s="1"/>
  <c r="C32" i="127"/>
  <c r="G32" i="127" s="1"/>
  <c r="D31" i="127"/>
  <c r="H31" i="127" s="1"/>
  <c r="C31" i="127"/>
  <c r="G31" i="127" s="1"/>
  <c r="D30" i="127"/>
  <c r="H30" i="127" s="1"/>
  <c r="C30" i="127"/>
  <c r="G30" i="127" s="1"/>
  <c r="D29" i="127"/>
  <c r="H29" i="127" s="1"/>
  <c r="C29" i="127"/>
  <c r="G29" i="127" s="1"/>
  <c r="F21" i="127"/>
  <c r="F22" i="127" s="1"/>
  <c r="F14" i="127"/>
  <c r="F15" i="127" s="1"/>
  <c r="F13" i="127"/>
  <c r="G7" i="127"/>
  <c r="D6" i="127"/>
  <c r="H7" i="127" s="1"/>
  <c r="D85" i="127" l="1"/>
  <c r="H55" i="127"/>
  <c r="G60" i="127"/>
  <c r="G55" i="127"/>
  <c r="F60" i="127" s="1"/>
  <c r="J5" i="120"/>
  <c r="J4" i="120"/>
  <c r="AR58" i="120"/>
  <c r="AQ58" i="120"/>
  <c r="AP58" i="120"/>
  <c r="H58" i="120"/>
  <c r="AO58" i="120" s="1"/>
  <c r="F58" i="120"/>
  <c r="AN58" i="120" s="1"/>
  <c r="AM58" i="120"/>
  <c r="AL58" i="120"/>
  <c r="AK58" i="120"/>
  <c r="AJ58" i="120"/>
  <c r="AI58" i="120"/>
  <c r="E58" i="120"/>
  <c r="A58" i="120"/>
  <c r="AR57" i="120"/>
  <c r="AQ57" i="120"/>
  <c r="AP57" i="120"/>
  <c r="H57" i="120"/>
  <c r="AO57" i="120" s="1"/>
  <c r="F57" i="120"/>
  <c r="AN57" i="120" s="1"/>
  <c r="AM57" i="120"/>
  <c r="AL57" i="120"/>
  <c r="AK57" i="120"/>
  <c r="AJ57" i="120"/>
  <c r="AI57" i="120"/>
  <c r="E57" i="120"/>
  <c r="A57" i="120"/>
  <c r="AR56" i="120"/>
  <c r="AQ56" i="120"/>
  <c r="AP56" i="120"/>
  <c r="H56" i="120"/>
  <c r="F56" i="120"/>
  <c r="AN56" i="120" s="1"/>
  <c r="AM56" i="120"/>
  <c r="AL56" i="120"/>
  <c r="AK56" i="120"/>
  <c r="AJ56" i="120"/>
  <c r="AI56" i="120"/>
  <c r="E56" i="120"/>
  <c r="A56" i="120"/>
  <c r="AR55" i="120"/>
  <c r="AQ55" i="120"/>
  <c r="AP55" i="120"/>
  <c r="H55" i="120"/>
  <c r="AO55" i="120" s="1"/>
  <c r="F55" i="120"/>
  <c r="AN55" i="120" s="1"/>
  <c r="AM55" i="120"/>
  <c r="AL55" i="120"/>
  <c r="AK55" i="120"/>
  <c r="AJ55" i="120"/>
  <c r="AI55" i="120"/>
  <c r="E55" i="120"/>
  <c r="A55" i="120"/>
  <c r="AR54" i="120"/>
  <c r="AQ54" i="120"/>
  <c r="AP54" i="120"/>
  <c r="H54" i="120"/>
  <c r="F54" i="120"/>
  <c r="AN54" i="120" s="1"/>
  <c r="AM54" i="120"/>
  <c r="AL54" i="120"/>
  <c r="AK54" i="120"/>
  <c r="AJ54" i="120"/>
  <c r="AI54" i="120"/>
  <c r="E54" i="120"/>
  <c r="A54" i="120"/>
  <c r="AR53" i="120"/>
  <c r="AQ53" i="120"/>
  <c r="AP53" i="120"/>
  <c r="H53" i="120"/>
  <c r="AO53" i="120" s="1"/>
  <c r="F53" i="120"/>
  <c r="AN53" i="120" s="1"/>
  <c r="AM53" i="120"/>
  <c r="AL53" i="120"/>
  <c r="AK53" i="120"/>
  <c r="AJ53" i="120"/>
  <c r="AI53" i="120"/>
  <c r="E53" i="120"/>
  <c r="A53" i="120"/>
  <c r="AR52" i="120"/>
  <c r="AQ52" i="120"/>
  <c r="AP52" i="120"/>
  <c r="H52" i="120"/>
  <c r="F52" i="120"/>
  <c r="AN52" i="120" s="1"/>
  <c r="AM52" i="120"/>
  <c r="AL52" i="120"/>
  <c r="AK52" i="120"/>
  <c r="AJ52" i="120"/>
  <c r="AI52" i="120"/>
  <c r="E52" i="120"/>
  <c r="A52" i="120"/>
  <c r="AR51" i="120"/>
  <c r="AQ51" i="120"/>
  <c r="AP51" i="120"/>
  <c r="H51" i="120"/>
  <c r="F51" i="120"/>
  <c r="AN51" i="120" s="1"/>
  <c r="AM51" i="120"/>
  <c r="AL51" i="120"/>
  <c r="AK51" i="120"/>
  <c r="AJ51" i="120"/>
  <c r="AI51" i="120"/>
  <c r="E51" i="120"/>
  <c r="A51" i="120"/>
  <c r="AR50" i="120"/>
  <c r="AQ50" i="120"/>
  <c r="AP50" i="120"/>
  <c r="H50" i="120"/>
  <c r="AO50" i="120" s="1"/>
  <c r="F50" i="120"/>
  <c r="AN50" i="120" s="1"/>
  <c r="AM50" i="120"/>
  <c r="AL50" i="120"/>
  <c r="AK50" i="120"/>
  <c r="AJ50" i="120"/>
  <c r="AI50" i="120"/>
  <c r="E50" i="120"/>
  <c r="A50" i="120"/>
  <c r="AR49" i="120"/>
  <c r="AQ49" i="120"/>
  <c r="AP49" i="120"/>
  <c r="H49" i="120"/>
  <c r="F49" i="120"/>
  <c r="AN49" i="120" s="1"/>
  <c r="AM49" i="120"/>
  <c r="AL49" i="120"/>
  <c r="AK49" i="120"/>
  <c r="AJ49" i="120"/>
  <c r="AI49" i="120"/>
  <c r="E49" i="120"/>
  <c r="A49" i="120"/>
  <c r="AR48" i="120"/>
  <c r="AQ48" i="120"/>
  <c r="AP48" i="120"/>
  <c r="H48" i="120"/>
  <c r="AO48" i="120" s="1"/>
  <c r="F48" i="120"/>
  <c r="AN48" i="120" s="1"/>
  <c r="AM48" i="120"/>
  <c r="AL48" i="120"/>
  <c r="AK48" i="120"/>
  <c r="AJ48" i="120"/>
  <c r="AI48" i="120"/>
  <c r="E48" i="120"/>
  <c r="A48" i="120"/>
  <c r="AR47" i="120"/>
  <c r="AQ47" i="120"/>
  <c r="AP47" i="120"/>
  <c r="H47" i="120"/>
  <c r="AO47" i="120" s="1"/>
  <c r="F47" i="120"/>
  <c r="AN47" i="120" s="1"/>
  <c r="AM47" i="120"/>
  <c r="AL47" i="120"/>
  <c r="AK47" i="120"/>
  <c r="AJ47" i="120"/>
  <c r="AI47" i="120"/>
  <c r="E47" i="120"/>
  <c r="A47" i="120"/>
  <c r="AR67" i="120"/>
  <c r="AQ67" i="120"/>
  <c r="AP67" i="120"/>
  <c r="H67" i="120"/>
  <c r="F67" i="120"/>
  <c r="AN67" i="120" s="1"/>
  <c r="AM67" i="120"/>
  <c r="AL67" i="120"/>
  <c r="AK67" i="120"/>
  <c r="AJ67" i="120"/>
  <c r="AI67" i="120"/>
  <c r="E67" i="120"/>
  <c r="A67" i="120"/>
  <c r="AR66" i="120"/>
  <c r="AQ66" i="120"/>
  <c r="AP66" i="120"/>
  <c r="H66" i="120"/>
  <c r="AO66" i="120" s="1"/>
  <c r="F66" i="120"/>
  <c r="AN66" i="120" s="1"/>
  <c r="AM66" i="120"/>
  <c r="AL66" i="120"/>
  <c r="AK66" i="120"/>
  <c r="AJ66" i="120"/>
  <c r="AI66" i="120"/>
  <c r="E66" i="120"/>
  <c r="A66" i="120"/>
  <c r="AR65" i="120"/>
  <c r="AQ65" i="120"/>
  <c r="AP65" i="120"/>
  <c r="H65" i="120"/>
  <c r="AO65" i="120" s="1"/>
  <c r="F65" i="120"/>
  <c r="AN65" i="120" s="1"/>
  <c r="AM65" i="120"/>
  <c r="AL65" i="120"/>
  <c r="AK65" i="120"/>
  <c r="AJ65" i="120"/>
  <c r="AI65" i="120"/>
  <c r="E65" i="120"/>
  <c r="A65" i="120"/>
  <c r="AR64" i="120"/>
  <c r="AQ64" i="120"/>
  <c r="AP64" i="120"/>
  <c r="H64" i="120"/>
  <c r="F64" i="120"/>
  <c r="AN64" i="120" s="1"/>
  <c r="AM64" i="120"/>
  <c r="AL64" i="120"/>
  <c r="AK64" i="120"/>
  <c r="AJ64" i="120"/>
  <c r="AI64" i="120"/>
  <c r="E64" i="120"/>
  <c r="A64" i="120"/>
  <c r="AR63" i="120"/>
  <c r="AQ63" i="120"/>
  <c r="AP63" i="120"/>
  <c r="H63" i="120"/>
  <c r="AO63" i="120" s="1"/>
  <c r="F63" i="120"/>
  <c r="AN63" i="120" s="1"/>
  <c r="AM63" i="120"/>
  <c r="AL63" i="120"/>
  <c r="AK63" i="120"/>
  <c r="AJ63" i="120"/>
  <c r="AI63" i="120"/>
  <c r="E63" i="120"/>
  <c r="A63" i="120"/>
  <c r="AR62" i="120"/>
  <c r="AQ62" i="120"/>
  <c r="AP62" i="120"/>
  <c r="H62" i="120"/>
  <c r="F62" i="120"/>
  <c r="AN62" i="120" s="1"/>
  <c r="AM62" i="120"/>
  <c r="AL62" i="120"/>
  <c r="AK62" i="120"/>
  <c r="AJ62" i="120"/>
  <c r="AI62" i="120"/>
  <c r="E62" i="120"/>
  <c r="A62" i="120"/>
  <c r="AR61" i="120"/>
  <c r="AQ61" i="120"/>
  <c r="AP61" i="120"/>
  <c r="H61" i="120"/>
  <c r="F61" i="120"/>
  <c r="AN61" i="120" s="1"/>
  <c r="AM61" i="120"/>
  <c r="AL61" i="120"/>
  <c r="AK61" i="120"/>
  <c r="AJ61" i="120"/>
  <c r="AI61" i="120"/>
  <c r="E61" i="120"/>
  <c r="A61" i="120"/>
  <c r="AR60" i="120"/>
  <c r="AQ60" i="120"/>
  <c r="AP60" i="120"/>
  <c r="H60" i="120"/>
  <c r="AO60" i="120" s="1"/>
  <c r="F60" i="120"/>
  <c r="AN60" i="120" s="1"/>
  <c r="AM60" i="120"/>
  <c r="AL60" i="120"/>
  <c r="AK60" i="120"/>
  <c r="AJ60" i="120"/>
  <c r="AI60" i="120"/>
  <c r="E60" i="120"/>
  <c r="A60" i="120"/>
  <c r="AR59" i="120"/>
  <c r="AQ59" i="120"/>
  <c r="AP59" i="120"/>
  <c r="H59" i="120"/>
  <c r="F59" i="120"/>
  <c r="AN59" i="120" s="1"/>
  <c r="AM59" i="120"/>
  <c r="AL59" i="120"/>
  <c r="AK59" i="120"/>
  <c r="AJ59" i="120"/>
  <c r="AI59" i="120"/>
  <c r="E59" i="120"/>
  <c r="A59" i="120"/>
  <c r="W39" i="13"/>
  <c r="Q39" i="13" s="1"/>
  <c r="O39" i="13" s="1"/>
  <c r="M39" i="13" s="1"/>
  <c r="K39" i="13" s="1"/>
  <c r="I39" i="13" s="1"/>
  <c r="W38" i="13"/>
  <c r="Q38" i="13" s="1"/>
  <c r="O38" i="13" s="1"/>
  <c r="M38" i="13" s="1"/>
  <c r="K38" i="13" s="1"/>
  <c r="I38" i="13" s="1"/>
  <c r="W37" i="13"/>
  <c r="Q37" i="13" s="1"/>
  <c r="O37" i="13" s="1"/>
  <c r="M37" i="13" s="1"/>
  <c r="K37" i="13" s="1"/>
  <c r="I37" i="13" s="1"/>
  <c r="W36" i="13"/>
  <c r="Q36" i="13" s="1"/>
  <c r="O36" i="13" s="1"/>
  <c r="M36" i="13" s="1"/>
  <c r="K36" i="13" s="1"/>
  <c r="I36" i="13" s="1"/>
  <c r="W35" i="13"/>
  <c r="Q35" i="13"/>
  <c r="O35" i="13" s="1"/>
  <c r="M35" i="13" s="1"/>
  <c r="K35" i="13" s="1"/>
  <c r="I35" i="13" s="1"/>
  <c r="W34" i="13"/>
  <c r="Q34" i="13" s="1"/>
  <c r="O34" i="13" s="1"/>
  <c r="M34" i="13" s="1"/>
  <c r="K34" i="13" s="1"/>
  <c r="I34" i="13" s="1"/>
  <c r="W33" i="13"/>
  <c r="Q33" i="13" s="1"/>
  <c r="O33" i="13" s="1"/>
  <c r="M33" i="13" s="1"/>
  <c r="K33" i="13" s="1"/>
  <c r="I33" i="13" s="1"/>
  <c r="W32" i="13"/>
  <c r="Q32" i="13" s="1"/>
  <c r="O32" i="13" s="1"/>
  <c r="M32" i="13" s="1"/>
  <c r="K32" i="13" s="1"/>
  <c r="I32" i="13" s="1"/>
  <c r="W31" i="13"/>
  <c r="Q31" i="13" s="1"/>
  <c r="O31" i="13" s="1"/>
  <c r="M31" i="13" s="1"/>
  <c r="K31" i="13" s="1"/>
  <c r="I31" i="13" s="1"/>
  <c r="W30" i="13"/>
  <c r="Q30" i="13" s="1"/>
  <c r="O30" i="13" s="1"/>
  <c r="M30" i="13" s="1"/>
  <c r="K30" i="13" s="1"/>
  <c r="I30" i="13" s="1"/>
  <c r="W29" i="13"/>
  <c r="Q29" i="13" s="1"/>
  <c r="O29" i="13" s="1"/>
  <c r="M29" i="13" s="1"/>
  <c r="K29" i="13" s="1"/>
  <c r="I29" i="13" s="1"/>
  <c r="W28" i="13"/>
  <c r="Q28" i="13" s="1"/>
  <c r="O28" i="13" s="1"/>
  <c r="M28" i="13" s="1"/>
  <c r="K28" i="13" s="1"/>
  <c r="I28" i="13" s="1"/>
  <c r="W27" i="13"/>
  <c r="Q27" i="13" s="1"/>
  <c r="O27" i="13" s="1"/>
  <c r="M27" i="13" s="1"/>
  <c r="K27" i="13" s="1"/>
  <c r="I27" i="13" s="1"/>
  <c r="W26" i="13"/>
  <c r="Q26" i="13" s="1"/>
  <c r="O26" i="13" s="1"/>
  <c r="M26" i="13" s="1"/>
  <c r="K26" i="13" s="1"/>
  <c r="I26" i="13" s="1"/>
  <c r="W25" i="13"/>
  <c r="Q25" i="13" s="1"/>
  <c r="O25" i="13" s="1"/>
  <c r="M25" i="13" s="1"/>
  <c r="K25" i="13" s="1"/>
  <c r="I25" i="13" s="1"/>
  <c r="G25" i="13" s="1"/>
  <c r="C25" i="13" s="1"/>
  <c r="W24" i="13"/>
  <c r="Q24" i="13" s="1"/>
  <c r="O24" i="13" s="1"/>
  <c r="M24" i="13" s="1"/>
  <c r="K24" i="13" s="1"/>
  <c r="I24" i="13" s="1"/>
  <c r="W23" i="13"/>
  <c r="Q23" i="13" s="1"/>
  <c r="O23" i="13" s="1"/>
  <c r="M23" i="13" s="1"/>
  <c r="K23" i="13" s="1"/>
  <c r="I23" i="13" s="1"/>
  <c r="W22" i="13"/>
  <c r="Q22" i="13" s="1"/>
  <c r="O22" i="13" s="1"/>
  <c r="M22" i="13" s="1"/>
  <c r="K22" i="13" s="1"/>
  <c r="I22" i="13" s="1"/>
  <c r="W21" i="13"/>
  <c r="Q21" i="13" s="1"/>
  <c r="O21" i="13" s="1"/>
  <c r="M21" i="13" s="1"/>
  <c r="K21" i="13" s="1"/>
  <c r="I21" i="13" s="1"/>
  <c r="W20" i="13"/>
  <c r="Q20" i="13" s="1"/>
  <c r="O20" i="13" s="1"/>
  <c r="M20" i="13" s="1"/>
  <c r="K20" i="13" s="1"/>
  <c r="I20" i="13" s="1"/>
  <c r="G20" i="13" s="1"/>
  <c r="C20" i="13" s="1"/>
  <c r="W19" i="13"/>
  <c r="Q19" i="13" s="1"/>
  <c r="O19" i="13" s="1"/>
  <c r="M19" i="13" s="1"/>
  <c r="K19" i="13" s="1"/>
  <c r="I19" i="13" s="1"/>
  <c r="W18" i="13"/>
  <c r="Q18" i="13" s="1"/>
  <c r="O18" i="13" s="1"/>
  <c r="M18" i="13" s="1"/>
  <c r="K18" i="13" s="1"/>
  <c r="I18" i="13" s="1"/>
  <c r="W17" i="13"/>
  <c r="Q17" i="13" s="1"/>
  <c r="O17" i="13" s="1"/>
  <c r="M17" i="13" s="1"/>
  <c r="K17" i="13" s="1"/>
  <c r="I17" i="13" s="1"/>
  <c r="W16" i="13"/>
  <c r="Q16" i="13" s="1"/>
  <c r="O16" i="13" s="1"/>
  <c r="M16" i="13" s="1"/>
  <c r="K16" i="13" s="1"/>
  <c r="I16" i="13" s="1"/>
  <c r="W15" i="13"/>
  <c r="Q15" i="13" s="1"/>
  <c r="O15" i="13" s="1"/>
  <c r="M15" i="13" s="1"/>
  <c r="K15" i="13" s="1"/>
  <c r="I15" i="13" s="1"/>
  <c r="W72" i="13"/>
  <c r="Q72" i="13" s="1"/>
  <c r="O72" i="13" s="1"/>
  <c r="M72" i="13" s="1"/>
  <c r="K72" i="13" s="1"/>
  <c r="I72" i="13" s="1"/>
  <c r="W71" i="13"/>
  <c r="Q71" i="13" s="1"/>
  <c r="O71" i="13" s="1"/>
  <c r="M71" i="13" s="1"/>
  <c r="K71" i="13" s="1"/>
  <c r="I71" i="13" s="1"/>
  <c r="W70" i="13"/>
  <c r="Q70" i="13"/>
  <c r="O70" i="13" s="1"/>
  <c r="M70" i="13" s="1"/>
  <c r="K70" i="13" s="1"/>
  <c r="I70" i="13" s="1"/>
  <c r="W69" i="13"/>
  <c r="Q69" i="13" s="1"/>
  <c r="O69" i="13" s="1"/>
  <c r="M69" i="13" s="1"/>
  <c r="K69" i="13" s="1"/>
  <c r="I69" i="13" s="1"/>
  <c r="W68" i="13"/>
  <c r="Q68" i="13" s="1"/>
  <c r="O68" i="13" s="1"/>
  <c r="M68" i="13" s="1"/>
  <c r="K68" i="13" s="1"/>
  <c r="I68" i="13" s="1"/>
  <c r="W67" i="13"/>
  <c r="Q67" i="13"/>
  <c r="O67" i="13" s="1"/>
  <c r="M67" i="13" s="1"/>
  <c r="K67" i="13" s="1"/>
  <c r="I67" i="13" s="1"/>
  <c r="W66" i="13"/>
  <c r="Q66" i="13" s="1"/>
  <c r="O66" i="13" s="1"/>
  <c r="M66" i="13" s="1"/>
  <c r="K66" i="13" s="1"/>
  <c r="I66" i="13" s="1"/>
  <c r="W65" i="13"/>
  <c r="Q65" i="13" s="1"/>
  <c r="O65" i="13" s="1"/>
  <c r="M65" i="13" s="1"/>
  <c r="K65" i="13" s="1"/>
  <c r="I65" i="13" s="1"/>
  <c r="W64" i="13"/>
  <c r="Q64" i="13" s="1"/>
  <c r="O64" i="13" s="1"/>
  <c r="M64" i="13" s="1"/>
  <c r="K64" i="13" s="1"/>
  <c r="I64" i="13" s="1"/>
  <c r="W63" i="13"/>
  <c r="Q63" i="13" s="1"/>
  <c r="O63" i="13" s="1"/>
  <c r="M63" i="13" s="1"/>
  <c r="K63" i="13" s="1"/>
  <c r="I63" i="13" s="1"/>
  <c r="W62" i="13"/>
  <c r="Q62" i="13" s="1"/>
  <c r="O62" i="13" s="1"/>
  <c r="M62" i="13" s="1"/>
  <c r="K62" i="13" s="1"/>
  <c r="I62" i="13" s="1"/>
  <c r="W61" i="13"/>
  <c r="Q61" i="13" s="1"/>
  <c r="O61" i="13" s="1"/>
  <c r="M61" i="13" s="1"/>
  <c r="K61" i="13" s="1"/>
  <c r="I61" i="13" s="1"/>
  <c r="W60" i="13"/>
  <c r="Q60" i="13" s="1"/>
  <c r="O60" i="13" s="1"/>
  <c r="M60" i="13" s="1"/>
  <c r="K60" i="13" s="1"/>
  <c r="I60" i="13" s="1"/>
  <c r="W59" i="13"/>
  <c r="Q59" i="13" s="1"/>
  <c r="O59" i="13" s="1"/>
  <c r="M59" i="13" s="1"/>
  <c r="K59" i="13" s="1"/>
  <c r="I59" i="13" s="1"/>
  <c r="W58" i="13"/>
  <c r="Q58" i="13" s="1"/>
  <c r="O58" i="13" s="1"/>
  <c r="M58" i="13" s="1"/>
  <c r="K58" i="13" s="1"/>
  <c r="I58" i="13" s="1"/>
  <c r="W57" i="13"/>
  <c r="Q57" i="13" s="1"/>
  <c r="O57" i="13" s="1"/>
  <c r="M57" i="13" s="1"/>
  <c r="K57" i="13" s="1"/>
  <c r="I57" i="13" s="1"/>
  <c r="W56" i="13"/>
  <c r="Q56" i="13" s="1"/>
  <c r="O56" i="13" s="1"/>
  <c r="M56" i="13" s="1"/>
  <c r="K56" i="13" s="1"/>
  <c r="I56" i="13" s="1"/>
  <c r="F12" i="120"/>
  <c r="AP15" i="120"/>
  <c r="AJ13" i="120"/>
  <c r="AP16" i="6"/>
  <c r="AW16" i="5"/>
  <c r="AQ11" i="5"/>
  <c r="AU12" i="5"/>
  <c r="AO11" i="5"/>
  <c r="AH11" i="4"/>
  <c r="CB15" i="1"/>
  <c r="BZ11" i="1"/>
  <c r="AH10" i="1"/>
  <c r="E10" i="1" s="1"/>
  <c r="AS10" i="6"/>
  <c r="AS11" i="6"/>
  <c r="AS12" i="6"/>
  <c r="AT12" i="6"/>
  <c r="AT10" i="6"/>
  <c r="L4" i="1"/>
  <c r="CF10" i="1" s="1"/>
  <c r="E5" i="4"/>
  <c r="AI7" i="4" s="1"/>
  <c r="D5" i="5"/>
  <c r="AY7" i="5"/>
  <c r="J3" i="6"/>
  <c r="AU10" i="6" s="1"/>
  <c r="E10" i="6"/>
  <c r="E10" i="5"/>
  <c r="J10" i="8" s="1"/>
  <c r="X22" i="11" s="1"/>
  <c r="AD22" i="11" s="1"/>
  <c r="M10" i="4"/>
  <c r="D10" i="4"/>
  <c r="E10" i="4"/>
  <c r="BT13" i="1"/>
  <c r="BS13" i="1" s="1"/>
  <c r="L5" i="1"/>
  <c r="CF11" i="1" s="1"/>
  <c r="CF7" i="1" s="1"/>
  <c r="E5" i="1" s="1"/>
  <c r="J3" i="120"/>
  <c r="J2" i="120"/>
  <c r="E9" i="120"/>
  <c r="A17" i="120"/>
  <c r="K9" i="120"/>
  <c r="H78" i="120"/>
  <c r="F78" i="120"/>
  <c r="AN78" i="120" s="1"/>
  <c r="H77" i="120"/>
  <c r="AO77" i="120" s="1"/>
  <c r="F77" i="120"/>
  <c r="AN77" i="120" s="1"/>
  <c r="H76" i="120"/>
  <c r="AO76" i="120" s="1"/>
  <c r="F76" i="120"/>
  <c r="H75" i="120"/>
  <c r="AO75" i="120" s="1"/>
  <c r="F75" i="120"/>
  <c r="H74" i="120"/>
  <c r="AO74" i="120" s="1"/>
  <c r="F74" i="120"/>
  <c r="H73" i="120"/>
  <c r="AO73" i="120" s="1"/>
  <c r="F73" i="120"/>
  <c r="H72" i="120"/>
  <c r="F72" i="120"/>
  <c r="AN72" i="120" s="1"/>
  <c r="H71" i="120"/>
  <c r="AO71" i="120" s="1"/>
  <c r="F71" i="120"/>
  <c r="AN71" i="120" s="1"/>
  <c r="H70" i="120"/>
  <c r="F70" i="120"/>
  <c r="H69" i="120"/>
  <c r="AO69" i="120" s="1"/>
  <c r="F69" i="120"/>
  <c r="H68" i="120"/>
  <c r="AO68" i="120" s="1"/>
  <c r="F68" i="120"/>
  <c r="H11" i="120"/>
  <c r="AO11" i="120" s="1"/>
  <c r="F11" i="120"/>
  <c r="H10" i="120"/>
  <c r="AO10" i="120" s="1"/>
  <c r="F10" i="120"/>
  <c r="E72" i="120"/>
  <c r="E70" i="120"/>
  <c r="E10" i="120"/>
  <c r="D86" i="14"/>
  <c r="I86" i="14"/>
  <c r="G87" i="14"/>
  <c r="G88" i="14"/>
  <c r="G89" i="14"/>
  <c r="G90" i="14"/>
  <c r="G91" i="14"/>
  <c r="G92" i="14"/>
  <c r="G93" i="14"/>
  <c r="G94" i="14"/>
  <c r="D64" i="14"/>
  <c r="I64" i="14"/>
  <c r="D75" i="14"/>
  <c r="I75" i="14"/>
  <c r="G65" i="14"/>
  <c r="B76" i="14"/>
  <c r="G76" i="14"/>
  <c r="B87" i="14"/>
  <c r="G66" i="14"/>
  <c r="B77" i="14"/>
  <c r="G77" i="14"/>
  <c r="B88" i="14"/>
  <c r="G67" i="14"/>
  <c r="B78" i="14"/>
  <c r="G78" i="14"/>
  <c r="B89" i="14"/>
  <c r="G68" i="14"/>
  <c r="B79" i="14"/>
  <c r="G79" i="14"/>
  <c r="B90" i="14"/>
  <c r="G69" i="14"/>
  <c r="B80" i="14"/>
  <c r="G80" i="14"/>
  <c r="B91" i="14"/>
  <c r="G70" i="14"/>
  <c r="B81" i="14"/>
  <c r="G81" i="14"/>
  <c r="B92" i="14"/>
  <c r="G71" i="14"/>
  <c r="B82" i="14"/>
  <c r="G82" i="14"/>
  <c r="B93" i="14"/>
  <c r="G72" i="14"/>
  <c r="B83" i="14"/>
  <c r="G83" i="14"/>
  <c r="B94" i="14"/>
  <c r="B65" i="14"/>
  <c r="B66" i="14"/>
  <c r="B67" i="14"/>
  <c r="B68" i="14"/>
  <c r="B69" i="14"/>
  <c r="B70" i="14"/>
  <c r="B71" i="14"/>
  <c r="B72" i="14"/>
  <c r="W83" i="13"/>
  <c r="Q83" i="13" s="1"/>
  <c r="O83" i="13" s="1"/>
  <c r="M83" i="13" s="1"/>
  <c r="K83" i="13" s="1"/>
  <c r="I83" i="13" s="1"/>
  <c r="W82" i="13"/>
  <c r="Q82" i="13" s="1"/>
  <c r="O82" i="13" s="1"/>
  <c r="M82" i="13" s="1"/>
  <c r="K82" i="13" s="1"/>
  <c r="I82" i="13" s="1"/>
  <c r="W81" i="13"/>
  <c r="Q81" i="13" s="1"/>
  <c r="O81" i="13" s="1"/>
  <c r="M81" i="13" s="1"/>
  <c r="K81" i="13" s="1"/>
  <c r="I81" i="13" s="1"/>
  <c r="W80" i="13"/>
  <c r="Q80" i="13" s="1"/>
  <c r="O80" i="13" s="1"/>
  <c r="M80" i="13" s="1"/>
  <c r="K80" i="13" s="1"/>
  <c r="I80" i="13" s="1"/>
  <c r="W79" i="13"/>
  <c r="Q79" i="13" s="1"/>
  <c r="O79" i="13" s="1"/>
  <c r="M79" i="13" s="1"/>
  <c r="K79" i="13" s="1"/>
  <c r="I79" i="13" s="1"/>
  <c r="G79" i="13" s="1"/>
  <c r="C79" i="13" s="1"/>
  <c r="W78" i="13"/>
  <c r="Q78" i="13" s="1"/>
  <c r="O78" i="13" s="1"/>
  <c r="M78" i="13" s="1"/>
  <c r="K78" i="13" s="1"/>
  <c r="I78" i="13" s="1"/>
  <c r="W77" i="13"/>
  <c r="Q77" i="13" s="1"/>
  <c r="O77" i="13" s="1"/>
  <c r="M77" i="13" s="1"/>
  <c r="K77" i="13" s="1"/>
  <c r="I77" i="13" s="1"/>
  <c r="W76" i="13"/>
  <c r="Q76" i="13" s="1"/>
  <c r="O76" i="13" s="1"/>
  <c r="M76" i="13" s="1"/>
  <c r="K76" i="13" s="1"/>
  <c r="I76" i="13" s="1"/>
  <c r="W75" i="13"/>
  <c r="Q75" i="13" s="1"/>
  <c r="O75" i="13" s="1"/>
  <c r="M75" i="13" s="1"/>
  <c r="K75" i="13" s="1"/>
  <c r="I75" i="13" s="1"/>
  <c r="W74" i="13"/>
  <c r="Q74" i="13" s="1"/>
  <c r="O74" i="13" s="1"/>
  <c r="M74" i="13" s="1"/>
  <c r="K74" i="13" s="1"/>
  <c r="I74" i="13" s="1"/>
  <c r="W73" i="13"/>
  <c r="Q73" i="13" s="1"/>
  <c r="O73" i="13" s="1"/>
  <c r="M73" i="13" s="1"/>
  <c r="K73" i="13" s="1"/>
  <c r="I73" i="13" s="1"/>
  <c r="W55" i="13"/>
  <c r="Q55" i="13" s="1"/>
  <c r="O55" i="13" s="1"/>
  <c r="M55" i="13" s="1"/>
  <c r="K55" i="13" s="1"/>
  <c r="I55" i="13" s="1"/>
  <c r="W54" i="13"/>
  <c r="Q54" i="13" s="1"/>
  <c r="O54" i="13" s="1"/>
  <c r="M54" i="13" s="1"/>
  <c r="K54" i="13" s="1"/>
  <c r="I54" i="13" s="1"/>
  <c r="W53" i="13"/>
  <c r="Q53" i="13" s="1"/>
  <c r="O53" i="13" s="1"/>
  <c r="M53" i="13" s="1"/>
  <c r="K53" i="13" s="1"/>
  <c r="I53" i="13" s="1"/>
  <c r="W52" i="13"/>
  <c r="Q52" i="13" s="1"/>
  <c r="O52" i="13" s="1"/>
  <c r="M52" i="13" s="1"/>
  <c r="K52" i="13" s="1"/>
  <c r="I52" i="13" s="1"/>
  <c r="W51" i="13"/>
  <c r="Q51" i="13" s="1"/>
  <c r="O51" i="13" s="1"/>
  <c r="M51" i="13" s="1"/>
  <c r="K51" i="13" s="1"/>
  <c r="I51" i="13" s="1"/>
  <c r="W50" i="13"/>
  <c r="Q50" i="13" s="1"/>
  <c r="O50" i="13" s="1"/>
  <c r="M50" i="13" s="1"/>
  <c r="K50" i="13" s="1"/>
  <c r="I50" i="13" s="1"/>
  <c r="W49" i="13"/>
  <c r="Q49" i="13" s="1"/>
  <c r="O49" i="13" s="1"/>
  <c r="M49" i="13" s="1"/>
  <c r="K49" i="13" s="1"/>
  <c r="I49" i="13" s="1"/>
  <c r="W48" i="13"/>
  <c r="Q48" i="13" s="1"/>
  <c r="O48" i="13" s="1"/>
  <c r="M48" i="13" s="1"/>
  <c r="K48" i="13" s="1"/>
  <c r="I48" i="13" s="1"/>
  <c r="W47" i="13"/>
  <c r="Q47" i="13" s="1"/>
  <c r="O47" i="13" s="1"/>
  <c r="M47" i="13" s="1"/>
  <c r="K47" i="13" s="1"/>
  <c r="I47" i="13" s="1"/>
  <c r="W46" i="13"/>
  <c r="Q46" i="13" s="1"/>
  <c r="O46" i="13" s="1"/>
  <c r="M46" i="13" s="1"/>
  <c r="K46" i="13" s="1"/>
  <c r="I46" i="13" s="1"/>
  <c r="W45" i="13"/>
  <c r="Q45" i="13" s="1"/>
  <c r="O45" i="13" s="1"/>
  <c r="M45" i="13" s="1"/>
  <c r="K45" i="13" s="1"/>
  <c r="I45" i="13" s="1"/>
  <c r="W44" i="13"/>
  <c r="Q44" i="13" s="1"/>
  <c r="O44" i="13" s="1"/>
  <c r="M44" i="13" s="1"/>
  <c r="K44" i="13" s="1"/>
  <c r="I44" i="13" s="1"/>
  <c r="W43" i="13"/>
  <c r="Q43" i="13" s="1"/>
  <c r="O43" i="13" s="1"/>
  <c r="M43" i="13" s="1"/>
  <c r="K43" i="13" s="1"/>
  <c r="I43" i="13" s="1"/>
  <c r="W42" i="13"/>
  <c r="Q42" i="13" s="1"/>
  <c r="O42" i="13" s="1"/>
  <c r="M42" i="13" s="1"/>
  <c r="K42" i="13" s="1"/>
  <c r="I42" i="13" s="1"/>
  <c r="W41" i="13"/>
  <c r="Q41" i="13" s="1"/>
  <c r="O41" i="13" s="1"/>
  <c r="M41" i="13" s="1"/>
  <c r="K41" i="13" s="1"/>
  <c r="I41" i="13" s="1"/>
  <c r="W40" i="13"/>
  <c r="Q40" i="13" s="1"/>
  <c r="O40" i="13" s="1"/>
  <c r="M40" i="13" s="1"/>
  <c r="K40" i="13" s="1"/>
  <c r="I40" i="13" s="1"/>
  <c r="W14" i="13"/>
  <c r="Q14" i="13" s="1"/>
  <c r="O14" i="13" s="1"/>
  <c r="M14" i="13" s="1"/>
  <c r="K14" i="13" s="1"/>
  <c r="I14" i="13" s="1"/>
  <c r="W13" i="13"/>
  <c r="Q13" i="13" s="1"/>
  <c r="O13" i="13" s="1"/>
  <c r="M13" i="13" s="1"/>
  <c r="K13" i="13" s="1"/>
  <c r="I13" i="13" s="1"/>
  <c r="W12" i="13"/>
  <c r="Q12" i="13" s="1"/>
  <c r="O12" i="13" s="1"/>
  <c r="M12" i="13" s="1"/>
  <c r="K12" i="13" s="1"/>
  <c r="I12" i="13" s="1"/>
  <c r="W11" i="13"/>
  <c r="Q11" i="13" s="1"/>
  <c r="O11" i="13" s="1"/>
  <c r="M11" i="13" s="1"/>
  <c r="K11" i="13" s="1"/>
  <c r="I11" i="13" s="1"/>
  <c r="W10" i="13"/>
  <c r="Q10" i="13" s="1"/>
  <c r="O10" i="13" s="1"/>
  <c r="M10" i="13" s="1"/>
  <c r="K10" i="13" s="1"/>
  <c r="I10" i="13" s="1"/>
  <c r="W9" i="13"/>
  <c r="Q9" i="13" s="1"/>
  <c r="O9" i="13" s="1"/>
  <c r="M9" i="13" s="1"/>
  <c r="K9" i="13" s="1"/>
  <c r="I9" i="13" s="1"/>
  <c r="W8" i="13"/>
  <c r="Q8" i="13" s="1"/>
  <c r="O8" i="13" s="1"/>
  <c r="M8" i="13" s="1"/>
  <c r="K8" i="13" s="1"/>
  <c r="I8" i="13" s="1"/>
  <c r="W7" i="13"/>
  <c r="Q7" i="13" s="1"/>
  <c r="W6" i="13"/>
  <c r="Q6" i="13" s="1"/>
  <c r="E9" i="118"/>
  <c r="E25" i="118"/>
  <c r="M9" i="8"/>
  <c r="L9" i="8"/>
  <c r="K9" i="8"/>
  <c r="J9" i="8"/>
  <c r="I9" i="8"/>
  <c r="H9" i="8"/>
  <c r="AM28" i="120"/>
  <c r="AL28" i="120"/>
  <c r="AK28" i="120"/>
  <c r="AM27" i="120"/>
  <c r="AL27" i="120"/>
  <c r="AK27" i="120"/>
  <c r="AM26" i="120"/>
  <c r="AL26" i="120"/>
  <c r="AK26" i="120"/>
  <c r="AM25" i="120"/>
  <c r="AL25" i="120"/>
  <c r="AK25" i="120"/>
  <c r="AM24" i="120"/>
  <c r="AL24" i="120"/>
  <c r="AK24" i="120"/>
  <c r="AM23" i="120"/>
  <c r="AL23" i="120"/>
  <c r="AK23" i="120"/>
  <c r="AM22" i="120"/>
  <c r="AL22" i="120"/>
  <c r="AK22" i="120"/>
  <c r="AM21" i="120"/>
  <c r="AL21" i="120"/>
  <c r="AK21" i="120"/>
  <c r="AM20" i="120"/>
  <c r="AL20" i="120"/>
  <c r="AK20" i="120"/>
  <c r="AM19" i="120"/>
  <c r="AL19" i="120"/>
  <c r="AK19" i="120"/>
  <c r="AM18" i="120"/>
  <c r="AL18" i="120"/>
  <c r="AK18" i="120"/>
  <c r="AM17" i="120"/>
  <c r="AL17" i="120"/>
  <c r="AK17" i="120"/>
  <c r="AM16" i="120"/>
  <c r="AL16" i="120"/>
  <c r="AK16" i="120"/>
  <c r="AM15" i="120"/>
  <c r="AL15" i="120"/>
  <c r="AK15" i="120"/>
  <c r="AM14" i="120"/>
  <c r="AL14" i="120"/>
  <c r="AK14" i="120"/>
  <c r="F9" i="120"/>
  <c r="C9" i="120" s="1"/>
  <c r="AM40" i="120"/>
  <c r="AL40" i="120"/>
  <c r="AK40" i="120"/>
  <c r="AM39" i="120"/>
  <c r="AL39" i="120"/>
  <c r="AK39" i="120"/>
  <c r="AM38" i="120"/>
  <c r="AL38" i="120"/>
  <c r="AK38" i="120"/>
  <c r="AM37" i="120"/>
  <c r="AL37" i="120"/>
  <c r="AK37" i="120"/>
  <c r="AM36" i="120"/>
  <c r="AL36" i="120"/>
  <c r="AK36" i="120"/>
  <c r="AM35" i="120"/>
  <c r="AL35" i="120"/>
  <c r="AK35" i="120"/>
  <c r="AM34" i="120"/>
  <c r="AL34" i="120"/>
  <c r="AK34" i="120"/>
  <c r="AM33" i="120"/>
  <c r="AL33" i="120"/>
  <c r="AK33" i="120"/>
  <c r="AM32" i="120"/>
  <c r="AL32" i="120"/>
  <c r="AK32" i="120"/>
  <c r="AM31" i="120"/>
  <c r="AL31" i="120"/>
  <c r="AK31" i="120"/>
  <c r="AM30" i="120"/>
  <c r="AL30" i="120"/>
  <c r="AK30" i="120"/>
  <c r="AM29" i="120"/>
  <c r="AL29" i="120"/>
  <c r="AK29" i="120"/>
  <c r="AM13" i="120"/>
  <c r="AL13" i="120"/>
  <c r="AK13" i="120"/>
  <c r="AM12" i="120"/>
  <c r="AL12" i="120"/>
  <c r="AK12" i="120"/>
  <c r="AM45" i="120"/>
  <c r="AL45" i="120"/>
  <c r="AK45" i="120"/>
  <c r="AM44" i="120"/>
  <c r="AL44" i="120"/>
  <c r="AK44" i="120"/>
  <c r="AM43" i="120"/>
  <c r="AL43" i="120"/>
  <c r="AK43" i="120"/>
  <c r="AM42" i="120"/>
  <c r="AL42" i="120"/>
  <c r="AK42" i="120"/>
  <c r="AM41" i="120"/>
  <c r="AL41" i="120"/>
  <c r="AK41" i="120"/>
  <c r="AR11" i="120"/>
  <c r="AQ11" i="120"/>
  <c r="AP11" i="120"/>
  <c r="AM11" i="120"/>
  <c r="AL11" i="120"/>
  <c r="AK11" i="120"/>
  <c r="AJ11" i="120"/>
  <c r="AI11" i="120"/>
  <c r="AR68" i="120"/>
  <c r="AQ68" i="120"/>
  <c r="AP68" i="120"/>
  <c r="AN68" i="120"/>
  <c r="AM68" i="120"/>
  <c r="AL68" i="120"/>
  <c r="AK68" i="120"/>
  <c r="AJ68" i="120"/>
  <c r="AI68" i="120"/>
  <c r="AO8" i="120"/>
  <c r="AP8" i="120"/>
  <c r="AQ8" i="120"/>
  <c r="AR8" i="120"/>
  <c r="AN8" i="120"/>
  <c r="AJ8" i="120"/>
  <c r="AK8" i="120"/>
  <c r="AL8" i="120"/>
  <c r="AM8" i="120"/>
  <c r="AI8" i="120"/>
  <c r="AI10" i="120"/>
  <c r="AJ10" i="120"/>
  <c r="AK10" i="120"/>
  <c r="AL10" i="120"/>
  <c r="AM10" i="120"/>
  <c r="AP10" i="120"/>
  <c r="AQ10" i="120"/>
  <c r="AR10" i="120"/>
  <c r="AK46" i="120"/>
  <c r="AL46" i="120"/>
  <c r="AM46" i="120"/>
  <c r="AI69" i="120"/>
  <c r="AJ69" i="120"/>
  <c r="AK69" i="120"/>
  <c r="AL69" i="120"/>
  <c r="AM69" i="120"/>
  <c r="AP69" i="120"/>
  <c r="AQ69" i="120"/>
  <c r="AR69" i="120"/>
  <c r="AI70" i="120"/>
  <c r="AJ70" i="120"/>
  <c r="AK70" i="120"/>
  <c r="AL70" i="120"/>
  <c r="AM70" i="120"/>
  <c r="AN70" i="120"/>
  <c r="AP70" i="120"/>
  <c r="AQ70" i="120"/>
  <c r="AR70" i="120"/>
  <c r="AI71" i="120"/>
  <c r="AJ71" i="120"/>
  <c r="AK71" i="120"/>
  <c r="AL71" i="120"/>
  <c r="AM71" i="120"/>
  <c r="AP71" i="120"/>
  <c r="AQ71" i="120"/>
  <c r="AR71" i="120"/>
  <c r="AI72" i="120"/>
  <c r="AJ72" i="120"/>
  <c r="AK72" i="120"/>
  <c r="AL72" i="120"/>
  <c r="AM72" i="120"/>
  <c r="AP72" i="120"/>
  <c r="AQ72" i="120"/>
  <c r="AR72" i="120"/>
  <c r="AI73" i="120"/>
  <c r="AJ73" i="120"/>
  <c r="AK73" i="120"/>
  <c r="AL73" i="120"/>
  <c r="AM73" i="120"/>
  <c r="AP73" i="120"/>
  <c r="AQ73" i="120"/>
  <c r="AR73" i="120"/>
  <c r="AI74" i="120"/>
  <c r="AJ74" i="120"/>
  <c r="AK74" i="120"/>
  <c r="AL74" i="120"/>
  <c r="AM74" i="120"/>
  <c r="AP74" i="120"/>
  <c r="AQ74" i="120"/>
  <c r="AR74" i="120"/>
  <c r="AI75" i="120"/>
  <c r="AJ75" i="120"/>
  <c r="AK75" i="120"/>
  <c r="AL75" i="120"/>
  <c r="AM75" i="120"/>
  <c r="AP75" i="120"/>
  <c r="AQ75" i="120"/>
  <c r="AR75" i="120"/>
  <c r="AI76" i="120"/>
  <c r="AJ76" i="120"/>
  <c r="AK76" i="120"/>
  <c r="AL76" i="120"/>
  <c r="AM76" i="120"/>
  <c r="AN76" i="120"/>
  <c r="AP76" i="120"/>
  <c r="AQ76" i="120"/>
  <c r="AR76" i="120"/>
  <c r="AI77" i="120"/>
  <c r="AJ77" i="120"/>
  <c r="AK77" i="120"/>
  <c r="AL77" i="120"/>
  <c r="AM77" i="120"/>
  <c r="AP77" i="120"/>
  <c r="AQ77" i="120"/>
  <c r="AR77" i="120"/>
  <c r="AI78" i="120"/>
  <c r="AJ78" i="120"/>
  <c r="AK78" i="120"/>
  <c r="AL78" i="120"/>
  <c r="AM78" i="120"/>
  <c r="AP78" i="120"/>
  <c r="AQ78" i="120"/>
  <c r="AR78" i="120"/>
  <c r="A79" i="120"/>
  <c r="AL21" i="118"/>
  <c r="AL20" i="118"/>
  <c r="AL19" i="118"/>
  <c r="AL18" i="118"/>
  <c r="AL17" i="118"/>
  <c r="AL16" i="118"/>
  <c r="AL15" i="118"/>
  <c r="AL14" i="118"/>
  <c r="AL13" i="118"/>
  <c r="AL12" i="118"/>
  <c r="AL11" i="118"/>
  <c r="AL10" i="118"/>
  <c r="AM10" i="118"/>
  <c r="BF21" i="118"/>
  <c r="BE21" i="118"/>
  <c r="BD21" i="118"/>
  <c r="BC21" i="118"/>
  <c r="B20" i="11"/>
  <c r="C3" i="11" s="1"/>
  <c r="A26" i="11" s="1"/>
  <c r="AT11" i="6"/>
  <c r="BA21" i="118"/>
  <c r="BF20" i="118"/>
  <c r="BE20" i="118"/>
  <c r="BD20" i="118"/>
  <c r="BC20" i="118"/>
  <c r="BA20" i="118"/>
  <c r="BF19" i="118"/>
  <c r="BE19" i="118"/>
  <c r="BD19" i="118"/>
  <c r="BC19" i="118"/>
  <c r="BA19" i="118"/>
  <c r="BF18" i="118"/>
  <c r="BE18" i="118"/>
  <c r="BD18" i="118"/>
  <c r="BC18" i="118"/>
  <c r="BA18" i="118"/>
  <c r="BF17" i="118"/>
  <c r="BE17" i="118"/>
  <c r="BD17" i="118"/>
  <c r="BC17" i="118"/>
  <c r="BA17" i="118"/>
  <c r="BF16" i="118"/>
  <c r="BE16" i="118"/>
  <c r="BD16" i="118"/>
  <c r="BC16" i="118"/>
  <c r="BA16" i="118"/>
  <c r="BF15" i="118"/>
  <c r="BE15" i="118"/>
  <c r="BD15" i="118"/>
  <c r="BC15" i="118"/>
  <c r="BA15" i="118"/>
  <c r="BF14" i="118"/>
  <c r="BE14" i="118"/>
  <c r="BD14" i="118"/>
  <c r="BC14" i="118"/>
  <c r="BA14" i="118"/>
  <c r="BF13" i="118"/>
  <c r="BE13" i="118"/>
  <c r="BD13" i="118"/>
  <c r="BC13" i="118"/>
  <c r="BA13" i="118"/>
  <c r="BF12" i="118"/>
  <c r="BE12" i="118"/>
  <c r="BD12" i="118"/>
  <c r="BC12" i="118"/>
  <c r="BA12" i="118"/>
  <c r="BF11" i="118"/>
  <c r="BE11" i="118"/>
  <c r="BD11" i="118"/>
  <c r="BC11" i="118"/>
  <c r="BA11" i="118"/>
  <c r="BD10" i="118"/>
  <c r="BF10" i="118"/>
  <c r="BE10" i="118"/>
  <c r="BC10" i="118"/>
  <c r="C10" i="1"/>
  <c r="C10" i="8" s="1"/>
  <c r="J22" i="11" s="1"/>
  <c r="P22" i="11" s="1"/>
  <c r="C10" i="4"/>
  <c r="AJ10" i="4" s="1"/>
  <c r="AK10" i="4" s="1"/>
  <c r="AO10" i="4" s="1"/>
  <c r="AP10" i="4" s="1"/>
  <c r="C10" i="5"/>
  <c r="D10" i="5" s="1"/>
  <c r="C10" i="6"/>
  <c r="BF9" i="118"/>
  <c r="BE9" i="118"/>
  <c r="BD9" i="118"/>
  <c r="BC9" i="118"/>
  <c r="AZ21" i="118"/>
  <c r="AY21" i="118"/>
  <c r="AX21" i="118"/>
  <c r="AW21" i="118"/>
  <c r="AU21" i="118"/>
  <c r="AZ20" i="118"/>
  <c r="AY20" i="118"/>
  <c r="AX20" i="118"/>
  <c r="AW20" i="118"/>
  <c r="AU20" i="118"/>
  <c r="AZ19" i="118"/>
  <c r="AY19" i="118"/>
  <c r="AX19" i="118"/>
  <c r="AW19" i="118"/>
  <c r="AU19" i="118"/>
  <c r="AZ18" i="118"/>
  <c r="AY18" i="118"/>
  <c r="AX18" i="118"/>
  <c r="AW18" i="118"/>
  <c r="AU18" i="118"/>
  <c r="AZ17" i="118"/>
  <c r="AY17" i="118"/>
  <c r="AX17" i="118"/>
  <c r="AW17" i="118"/>
  <c r="AU17" i="118"/>
  <c r="AZ16" i="118"/>
  <c r="AY16" i="118"/>
  <c r="AX16" i="118"/>
  <c r="AW16" i="118"/>
  <c r="AU16" i="118"/>
  <c r="AZ15" i="118"/>
  <c r="AY15" i="118"/>
  <c r="AX15" i="118"/>
  <c r="AW15" i="118"/>
  <c r="AU15" i="118"/>
  <c r="AZ14" i="118"/>
  <c r="AY14" i="118"/>
  <c r="AX14" i="118"/>
  <c r="AW14" i="118"/>
  <c r="AU14" i="118"/>
  <c r="AZ13" i="118"/>
  <c r="AY13" i="118"/>
  <c r="AX13" i="118"/>
  <c r="AW13" i="118"/>
  <c r="AU13" i="118"/>
  <c r="AZ12" i="118"/>
  <c r="AY12" i="118"/>
  <c r="AX12" i="118"/>
  <c r="AW12" i="118"/>
  <c r="AU12" i="118"/>
  <c r="AZ11" i="118"/>
  <c r="AY11" i="118"/>
  <c r="AX11" i="118"/>
  <c r="AW11" i="118"/>
  <c r="AU11" i="118"/>
  <c r="AZ10" i="118"/>
  <c r="AY10" i="118"/>
  <c r="AX10" i="118"/>
  <c r="AW10" i="118"/>
  <c r="AZ9" i="118"/>
  <c r="AY9" i="118"/>
  <c r="AX9" i="118"/>
  <c r="AW9" i="118"/>
  <c r="AT21" i="118"/>
  <c r="AS21" i="118"/>
  <c r="AR21" i="118"/>
  <c r="AQ21" i="118"/>
  <c r="AO21" i="118"/>
  <c r="AT20" i="118"/>
  <c r="AS20" i="118"/>
  <c r="AR20" i="118"/>
  <c r="AQ20" i="118"/>
  <c r="AO20" i="118"/>
  <c r="AT19" i="118"/>
  <c r="AS19" i="118"/>
  <c r="AR19" i="118"/>
  <c r="AQ19" i="118"/>
  <c r="AO19" i="118"/>
  <c r="AT18" i="118"/>
  <c r="AS18" i="118"/>
  <c r="AR18" i="118"/>
  <c r="AQ18" i="118"/>
  <c r="AO18" i="118"/>
  <c r="AT17" i="118"/>
  <c r="AS17" i="118"/>
  <c r="AR17" i="118"/>
  <c r="AQ17" i="118"/>
  <c r="AO17" i="118"/>
  <c r="AT16" i="118"/>
  <c r="AS16" i="118"/>
  <c r="AR16" i="118"/>
  <c r="AQ16" i="118"/>
  <c r="AO16" i="118"/>
  <c r="AT15" i="118"/>
  <c r="AS15" i="118"/>
  <c r="AR15" i="118"/>
  <c r="AQ15" i="118"/>
  <c r="AO15" i="118"/>
  <c r="AT14" i="118"/>
  <c r="AS14" i="118"/>
  <c r="AR14" i="118"/>
  <c r="AQ14" i="118"/>
  <c r="AO14" i="118"/>
  <c r="AT13" i="118"/>
  <c r="AS13" i="118"/>
  <c r="AR13" i="118"/>
  <c r="AQ13" i="118"/>
  <c r="AO13" i="118"/>
  <c r="AT12" i="118"/>
  <c r="AS12" i="118"/>
  <c r="AR12" i="118"/>
  <c r="AQ12" i="118"/>
  <c r="AO12" i="118"/>
  <c r="AT11" i="118"/>
  <c r="AS11" i="118"/>
  <c r="AR11" i="118"/>
  <c r="AQ11" i="118"/>
  <c r="AO11" i="118"/>
  <c r="AT10" i="118"/>
  <c r="AS10" i="118"/>
  <c r="AR10" i="118"/>
  <c r="AQ10" i="118"/>
  <c r="Z10" i="1"/>
  <c r="AC10" i="1"/>
  <c r="AF10" i="1"/>
  <c r="AT9" i="118"/>
  <c r="AS9" i="118"/>
  <c r="AR9" i="118"/>
  <c r="AQ9" i="118"/>
  <c r="AN21" i="118"/>
  <c r="AM21" i="118"/>
  <c r="AK21" i="118"/>
  <c r="AI21" i="118"/>
  <c r="AN20" i="118"/>
  <c r="AM20" i="118"/>
  <c r="AK20" i="118"/>
  <c r="AI20" i="118"/>
  <c r="AN19" i="118"/>
  <c r="AM19" i="118"/>
  <c r="AK19" i="118"/>
  <c r="AI19" i="118"/>
  <c r="AN18" i="118"/>
  <c r="AM18" i="118"/>
  <c r="AK18" i="118"/>
  <c r="AI18" i="118"/>
  <c r="AN17" i="118"/>
  <c r="AM17" i="118"/>
  <c r="AK17" i="118"/>
  <c r="AI17" i="118"/>
  <c r="AN16" i="118"/>
  <c r="AM16" i="118"/>
  <c r="AK16" i="118"/>
  <c r="AI16" i="118"/>
  <c r="AN15" i="118"/>
  <c r="AM15" i="118"/>
  <c r="AK15" i="118"/>
  <c r="AI15" i="118"/>
  <c r="AN14" i="118"/>
  <c r="AM14" i="118"/>
  <c r="AK14" i="118"/>
  <c r="AI14" i="118"/>
  <c r="AN13" i="118"/>
  <c r="AM13" i="118"/>
  <c r="AK13" i="118"/>
  <c r="AI13" i="118"/>
  <c r="AN12" i="118"/>
  <c r="AM12" i="118"/>
  <c r="AK12" i="118"/>
  <c r="AI12" i="118"/>
  <c r="AN11" i="118"/>
  <c r="AM11" i="118"/>
  <c r="AK11" i="118"/>
  <c r="AI11" i="118"/>
  <c r="AN10" i="118"/>
  <c r="AK10" i="118"/>
  <c r="AN9" i="118"/>
  <c r="AM9" i="118"/>
  <c r="AL9" i="118"/>
  <c r="AK9" i="118"/>
  <c r="BA10" i="118"/>
  <c r="AU10" i="118"/>
  <c r="AO10" i="118"/>
  <c r="AI10" i="118"/>
  <c r="AC11" i="118"/>
  <c r="AC12" i="118"/>
  <c r="AC13" i="118"/>
  <c r="AC14" i="118"/>
  <c r="AC15" i="118"/>
  <c r="AC16" i="118"/>
  <c r="AC17" i="118"/>
  <c r="AC18" i="118"/>
  <c r="AC19" i="118"/>
  <c r="AC20" i="118"/>
  <c r="AC21" i="118"/>
  <c r="AC10" i="118"/>
  <c r="AE11" i="118"/>
  <c r="AF11" i="118"/>
  <c r="AG11" i="118"/>
  <c r="AH11" i="118"/>
  <c r="AE12" i="118"/>
  <c r="AF12" i="118"/>
  <c r="AG12" i="118"/>
  <c r="AH12" i="118"/>
  <c r="AE13" i="118"/>
  <c r="AF13" i="118"/>
  <c r="AG13" i="118"/>
  <c r="AH13" i="118"/>
  <c r="AE14" i="118"/>
  <c r="AF14" i="118"/>
  <c r="AG14" i="118"/>
  <c r="AH14" i="118"/>
  <c r="AE15" i="118"/>
  <c r="AF15" i="118"/>
  <c r="AG15" i="118"/>
  <c r="AH15" i="118"/>
  <c r="AE16" i="118"/>
  <c r="AF16" i="118"/>
  <c r="AG16" i="118"/>
  <c r="AH16" i="118"/>
  <c r="AE17" i="118"/>
  <c r="AF17" i="118"/>
  <c r="AG17" i="118"/>
  <c r="AH17" i="118"/>
  <c r="AE18" i="118"/>
  <c r="AF18" i="118"/>
  <c r="AG18" i="118"/>
  <c r="AH18" i="118"/>
  <c r="AE19" i="118"/>
  <c r="AF19" i="118"/>
  <c r="AG19" i="118"/>
  <c r="AH19" i="118"/>
  <c r="AE20" i="118"/>
  <c r="AF20" i="118"/>
  <c r="AG20" i="118"/>
  <c r="AH20" i="118"/>
  <c r="AE21" i="118"/>
  <c r="AF21" i="118"/>
  <c r="AG21" i="118"/>
  <c r="AH21" i="118"/>
  <c r="AH10" i="118"/>
  <c r="AG10" i="118"/>
  <c r="AF10" i="118"/>
  <c r="AE10" i="118"/>
  <c r="AH9" i="118"/>
  <c r="AG9" i="118"/>
  <c r="AF9" i="118"/>
  <c r="AE9" i="118"/>
  <c r="F9" i="118"/>
  <c r="D9" i="118"/>
  <c r="C9" i="118"/>
  <c r="AA21" i="11"/>
  <c r="Z21" i="11"/>
  <c r="Y21" i="11"/>
  <c r="X21" i="11"/>
  <c r="W21" i="11"/>
  <c r="V21" i="11"/>
  <c r="AG21" i="11"/>
  <c r="AF21" i="11"/>
  <c r="AE21" i="11"/>
  <c r="AD21" i="11"/>
  <c r="AC21" i="11"/>
  <c r="AB21" i="11"/>
  <c r="F4" i="1"/>
  <c r="O9" i="1"/>
  <c r="M9" i="1"/>
  <c r="K9" i="1"/>
  <c r="G9" i="1"/>
  <c r="M9" i="4"/>
  <c r="G9" i="4"/>
  <c r="G9" i="6"/>
  <c r="G9" i="5"/>
  <c r="F4" i="4"/>
  <c r="W9" i="6"/>
  <c r="R9" i="6"/>
  <c r="V9" i="6"/>
  <c r="P9" i="6"/>
  <c r="U9" i="6"/>
  <c r="N9" i="6"/>
  <c r="T9" i="6"/>
  <c r="L9" i="6"/>
  <c r="S9" i="6"/>
  <c r="J9" i="6"/>
  <c r="F9" i="6"/>
  <c r="E9" i="6"/>
  <c r="E4" i="6"/>
  <c r="E4" i="5"/>
  <c r="R9" i="5"/>
  <c r="P9" i="5"/>
  <c r="N9" i="5"/>
  <c r="L9" i="5"/>
  <c r="J9" i="5"/>
  <c r="W9" i="5"/>
  <c r="V9" i="5"/>
  <c r="U9" i="5"/>
  <c r="T9" i="5"/>
  <c r="F9" i="5"/>
  <c r="S9" i="5"/>
  <c r="E9" i="5"/>
  <c r="L9" i="4"/>
  <c r="K9" i="4"/>
  <c r="F9" i="4"/>
  <c r="E9" i="4"/>
  <c r="D9" i="4"/>
  <c r="AH9" i="1"/>
  <c r="X9" i="1"/>
  <c r="W9" i="1"/>
  <c r="V9" i="1"/>
  <c r="U9" i="1"/>
  <c r="S9" i="1"/>
  <c r="Q9" i="1"/>
  <c r="AF9" i="1"/>
  <c r="AC9" i="1"/>
  <c r="Z9" i="1"/>
  <c r="F9" i="1"/>
  <c r="E9" i="1"/>
  <c r="D9" i="1"/>
  <c r="H5" i="5"/>
  <c r="H2" i="5"/>
  <c r="I5" i="4"/>
  <c r="I2" i="4"/>
  <c r="G5" i="6"/>
  <c r="G2" i="6"/>
  <c r="J5" i="6"/>
  <c r="AU12" i="6" s="1"/>
  <c r="J4" i="6"/>
  <c r="AU11" i="6" s="1"/>
  <c r="K4" i="6"/>
  <c r="K5" i="6"/>
  <c r="K3" i="6"/>
  <c r="M5" i="1"/>
  <c r="CG11" i="1" s="1"/>
  <c r="M4" i="1"/>
  <c r="CG10" i="1" s="1"/>
  <c r="I5" i="1"/>
  <c r="I2" i="1"/>
  <c r="CD10" i="1"/>
  <c r="CC10" i="1"/>
  <c r="AG10" i="4"/>
  <c r="AW10" i="5"/>
  <c r="AW11" i="5"/>
  <c r="AW12" i="5"/>
  <c r="AW13" i="5"/>
  <c r="AW17" i="5"/>
  <c r="AW18" i="5"/>
  <c r="AW19" i="5"/>
  <c r="AW20" i="5"/>
  <c r="AW21" i="5"/>
  <c r="S10" i="6"/>
  <c r="T10" i="6"/>
  <c r="U10" i="6"/>
  <c r="V10" i="6"/>
  <c r="W10" i="6"/>
  <c r="AI10" i="6"/>
  <c r="AJ10" i="6"/>
  <c r="AK10" i="6"/>
  <c r="AL10" i="6"/>
  <c r="AM10" i="6"/>
  <c r="AN10" i="6"/>
  <c r="AO10" i="6"/>
  <c r="AP10" i="6"/>
  <c r="AQ10" i="6"/>
  <c r="AR10" i="6"/>
  <c r="U11" i="6"/>
  <c r="V11" i="6"/>
  <c r="W11" i="6"/>
  <c r="AK11" i="6"/>
  <c r="AL11" i="6"/>
  <c r="AM11" i="6"/>
  <c r="AP11" i="6"/>
  <c r="AQ11" i="6"/>
  <c r="AR11" i="6"/>
  <c r="U12" i="6"/>
  <c r="V12" i="6"/>
  <c r="W12" i="6"/>
  <c r="AK12" i="6"/>
  <c r="AL12" i="6"/>
  <c r="AM12" i="6"/>
  <c r="AP12" i="6"/>
  <c r="AQ12" i="6"/>
  <c r="AR12" i="6"/>
  <c r="U13" i="6"/>
  <c r="V13" i="6"/>
  <c r="W13" i="6"/>
  <c r="AK13" i="6"/>
  <c r="AL13" i="6"/>
  <c r="AM13" i="6"/>
  <c r="AP13" i="6"/>
  <c r="AQ13" i="6"/>
  <c r="AR13" i="6"/>
  <c r="U14" i="6"/>
  <c r="V14" i="6"/>
  <c r="W14" i="6"/>
  <c r="AK14" i="6"/>
  <c r="AL14" i="6"/>
  <c r="AM14" i="6"/>
  <c r="AP14" i="6"/>
  <c r="AQ14" i="6"/>
  <c r="AR14" i="6"/>
  <c r="U15" i="6"/>
  <c r="V15" i="6"/>
  <c r="W15" i="6"/>
  <c r="AK15" i="6"/>
  <c r="AL15" i="6"/>
  <c r="AM15" i="6"/>
  <c r="AP15" i="6"/>
  <c r="AQ15" i="6"/>
  <c r="AR15" i="6"/>
  <c r="V16" i="6"/>
  <c r="W16" i="6"/>
  <c r="AL16" i="6"/>
  <c r="AM16" i="6"/>
  <c r="AQ16" i="6"/>
  <c r="AR16" i="6"/>
  <c r="U17" i="6"/>
  <c r="V17" i="6"/>
  <c r="W17" i="6"/>
  <c r="AK17" i="6"/>
  <c r="AL17" i="6"/>
  <c r="AM17" i="6"/>
  <c r="AP17" i="6"/>
  <c r="AQ17" i="6"/>
  <c r="AR17" i="6"/>
  <c r="U18" i="6"/>
  <c r="V18" i="6"/>
  <c r="W18" i="6"/>
  <c r="AK18" i="6"/>
  <c r="AL18" i="6"/>
  <c r="AM18" i="6"/>
  <c r="AP18" i="6"/>
  <c r="AQ18" i="6"/>
  <c r="AR18" i="6"/>
  <c r="U19" i="6"/>
  <c r="V19" i="6"/>
  <c r="W19" i="6"/>
  <c r="AK19" i="6"/>
  <c r="AL19" i="6"/>
  <c r="AM19" i="6"/>
  <c r="AP19" i="6"/>
  <c r="AQ19" i="6"/>
  <c r="AR19" i="6"/>
  <c r="U20" i="6"/>
  <c r="V20" i="6"/>
  <c r="W20" i="6"/>
  <c r="AK20" i="6"/>
  <c r="AL20" i="6"/>
  <c r="AM20" i="6"/>
  <c r="AP20" i="6"/>
  <c r="AQ20" i="6"/>
  <c r="AR20" i="6"/>
  <c r="T21" i="6"/>
  <c r="U21" i="6"/>
  <c r="V21" i="6"/>
  <c r="W21" i="6"/>
  <c r="AJ21" i="6"/>
  <c r="AK21" i="6"/>
  <c r="AL21" i="6"/>
  <c r="AM21" i="6"/>
  <c r="AO21" i="6"/>
  <c r="AP21" i="6"/>
  <c r="AQ21" i="6"/>
  <c r="AR21" i="6"/>
  <c r="A22" i="6"/>
  <c r="O22" i="6"/>
  <c r="P22" i="6"/>
  <c r="Q22" i="6"/>
  <c r="R22" i="6"/>
  <c r="S10" i="5"/>
  <c r="T10" i="5"/>
  <c r="U10" i="5"/>
  <c r="V10" i="5"/>
  <c r="W10" i="5"/>
  <c r="AO10" i="5"/>
  <c r="AP10" i="5"/>
  <c r="AQ10" i="5"/>
  <c r="AR10" i="5"/>
  <c r="AS10" i="5"/>
  <c r="AT10" i="5"/>
  <c r="AU10" i="5"/>
  <c r="AV10" i="5"/>
  <c r="AX10" i="5"/>
  <c r="V11" i="5"/>
  <c r="W11" i="5"/>
  <c r="AR11" i="5"/>
  <c r="AS11" i="5"/>
  <c r="AX11" i="5"/>
  <c r="V12" i="5"/>
  <c r="W12" i="5"/>
  <c r="AR12" i="5"/>
  <c r="AS12" i="5"/>
  <c r="AX12" i="5"/>
  <c r="V13" i="5"/>
  <c r="W13" i="5"/>
  <c r="AR13" i="5"/>
  <c r="AS13" i="5"/>
  <c r="AX13" i="5"/>
  <c r="W14" i="5"/>
  <c r="AS14" i="5"/>
  <c r="AX14" i="5"/>
  <c r="W15" i="5"/>
  <c r="AS15" i="5"/>
  <c r="AX15" i="5"/>
  <c r="W16" i="5"/>
  <c r="AS16" i="5"/>
  <c r="AX16" i="5"/>
  <c r="V17" i="5"/>
  <c r="W17" i="5"/>
  <c r="AR17" i="5"/>
  <c r="AS17" i="5"/>
  <c r="AX17" i="5"/>
  <c r="V18" i="5"/>
  <c r="W18" i="5"/>
  <c r="AR18" i="5"/>
  <c r="AS18" i="5"/>
  <c r="AX18" i="5"/>
  <c r="U19" i="5"/>
  <c r="V19" i="5"/>
  <c r="W19" i="5"/>
  <c r="AQ19" i="5"/>
  <c r="AR19" i="5"/>
  <c r="AS19" i="5"/>
  <c r="AV19" i="5"/>
  <c r="AX19" i="5"/>
  <c r="U20" i="5"/>
  <c r="V20" i="5"/>
  <c r="W20" i="5"/>
  <c r="AQ20" i="5"/>
  <c r="AR20" i="5"/>
  <c r="AS20" i="5"/>
  <c r="AV20" i="5"/>
  <c r="AX20" i="5"/>
  <c r="U21" i="5"/>
  <c r="V21" i="5"/>
  <c r="W21" i="5"/>
  <c r="AQ21" i="5"/>
  <c r="AR21" i="5"/>
  <c r="AS21" i="5"/>
  <c r="AV21" i="5"/>
  <c r="AX21" i="5"/>
  <c r="A22" i="5"/>
  <c r="Q22" i="5"/>
  <c r="R22" i="5"/>
  <c r="AN9" i="4"/>
  <c r="AO9" i="4" s="1"/>
  <c r="AP9" i="4" s="1"/>
  <c r="AQ9" i="4" s="1"/>
  <c r="AR9" i="4" s="1"/>
  <c r="AS9" i="4" s="1"/>
  <c r="AT9" i="4"/>
  <c r="AU9" i="4" s="1"/>
  <c r="AV9" i="4" s="1"/>
  <c r="AW9" i="4" s="1"/>
  <c r="AX9" i="4" s="1"/>
  <c r="AY9" i="4" s="1"/>
  <c r="AZ9" i="4" s="1"/>
  <c r="BA9" i="4" s="1"/>
  <c r="BB9" i="4" s="1"/>
  <c r="BC9" i="4" s="1"/>
  <c r="BD9" i="4" s="1"/>
  <c r="BE9" i="4" s="1"/>
  <c r="BF9" i="4" s="1"/>
  <c r="BG9" i="4" s="1"/>
  <c r="BH9" i="4" s="1"/>
  <c r="BI9" i="4" s="1"/>
  <c r="BJ9" i="4" s="1"/>
  <c r="BK9" i="4" s="1"/>
  <c r="AF10" i="4"/>
  <c r="AH10" i="4"/>
  <c r="AL10" i="4"/>
  <c r="AM10" i="4"/>
  <c r="AF11" i="4"/>
  <c r="AM11" i="4"/>
  <c r="A22" i="4"/>
  <c r="BW8" i="1"/>
  <c r="BX8" i="1"/>
  <c r="BY8" i="1"/>
  <c r="BZ8" i="1"/>
  <c r="CA8" i="1"/>
  <c r="CB8" i="1"/>
  <c r="CM9" i="1"/>
  <c r="CN9" i="1" s="1"/>
  <c r="CO9" i="1" s="1"/>
  <c r="CP9" i="1" s="1"/>
  <c r="CQ9" i="1" s="1"/>
  <c r="CR9" i="1" s="1"/>
  <c r="CS9" i="1" s="1"/>
  <c r="CT9" i="1" s="1"/>
  <c r="CU9" i="1" s="1"/>
  <c r="CV9" i="1" s="1"/>
  <c r="CW9" i="1" s="1"/>
  <c r="CX9" i="1" s="1"/>
  <c r="CY9" i="1" s="1"/>
  <c r="CZ9" i="1" s="1"/>
  <c r="DA9" i="1" s="1"/>
  <c r="DB9" i="1" s="1"/>
  <c r="DC9" i="1" s="1"/>
  <c r="DD9" i="1" s="1"/>
  <c r="DE9" i="1" s="1"/>
  <c r="DF9" i="1" s="1"/>
  <c r="DG9" i="1" s="1"/>
  <c r="DH9" i="1" s="1"/>
  <c r="DI9" i="1" s="1"/>
  <c r="DJ9" i="1" s="1"/>
  <c r="Y10" i="1"/>
  <c r="AB10" i="1"/>
  <c r="AE10" i="1"/>
  <c r="BR10" i="1"/>
  <c r="BT10" i="1"/>
  <c r="BS10" i="1" s="1"/>
  <c r="BW10" i="1"/>
  <c r="BX10" i="1"/>
  <c r="BY10" i="1"/>
  <c r="BZ10" i="1"/>
  <c r="CA10" i="1"/>
  <c r="CB10" i="1"/>
  <c r="CI10" i="1"/>
  <c r="CJ10" i="1" s="1"/>
  <c r="CN10" i="1" s="1"/>
  <c r="CO10" i="1" s="1"/>
  <c r="CK10" i="1"/>
  <c r="CK11" i="1" s="1"/>
  <c r="CP11" i="1" s="1"/>
  <c r="CQ11" i="1" s="1"/>
  <c r="CL10" i="1"/>
  <c r="BR11" i="1"/>
  <c r="BT11" i="1"/>
  <c r="BS11" i="1" s="1"/>
  <c r="BY11" i="1"/>
  <c r="CA11" i="1"/>
  <c r="CB11" i="1"/>
  <c r="CL11" i="1"/>
  <c r="BR12" i="1"/>
  <c r="BT12" i="1"/>
  <c r="BS12" i="1" s="1"/>
  <c r="CA12" i="1"/>
  <c r="CB12" i="1"/>
  <c r="BR13" i="1"/>
  <c r="CA13" i="1"/>
  <c r="CB13" i="1"/>
  <c r="BR14" i="1"/>
  <c r="BT14" i="1"/>
  <c r="BS14" i="1" s="1"/>
  <c r="CA14" i="1"/>
  <c r="CB14" i="1"/>
  <c r="BR15" i="1"/>
  <c r="BT15" i="1"/>
  <c r="BS15" i="1" s="1"/>
  <c r="CA15" i="1"/>
  <c r="BR16" i="1"/>
  <c r="BT16" i="1"/>
  <c r="BS16" i="1" s="1"/>
  <c r="BR17" i="1"/>
  <c r="BT17" i="1"/>
  <c r="BS17" i="1" s="1"/>
  <c r="BR18" i="1"/>
  <c r="BT18" i="1"/>
  <c r="BS18" i="1" s="1"/>
  <c r="BR19" i="1"/>
  <c r="BT19" i="1"/>
  <c r="BS19" i="1" s="1"/>
  <c r="BR20" i="1"/>
  <c r="BT20" i="1"/>
  <c r="BS20" i="1" s="1"/>
  <c r="BR21" i="1"/>
  <c r="BT21" i="1"/>
  <c r="BS21" i="1" s="1"/>
  <c r="A22" i="1"/>
  <c r="C21" i="11"/>
  <c r="D21" i="11"/>
  <c r="E21" i="11"/>
  <c r="F21" i="11"/>
  <c r="G21" i="11"/>
  <c r="H21" i="11"/>
  <c r="G25" i="118" s="1"/>
  <c r="G9" i="118" s="1"/>
  <c r="P21" i="11"/>
  <c r="Q21" i="11"/>
  <c r="R21" i="11"/>
  <c r="S21" i="11"/>
  <c r="T21" i="11"/>
  <c r="U21" i="11"/>
  <c r="I21" i="11" s="1"/>
  <c r="F86" i="13"/>
  <c r="B64" i="14" s="1"/>
  <c r="H86" i="13"/>
  <c r="G64" i="14" s="1"/>
  <c r="J86" i="13"/>
  <c r="B75" i="14" s="1"/>
  <c r="L86" i="13"/>
  <c r="G75" i="14" s="1"/>
  <c r="N86" i="13"/>
  <c r="B86" i="14" s="1"/>
  <c r="P86" i="13"/>
  <c r="G86" i="14"/>
  <c r="A13" i="120"/>
  <c r="A14" i="120"/>
  <c r="A11" i="120"/>
  <c r="A16" i="120"/>
  <c r="A10" i="120"/>
  <c r="A12" i="120"/>
  <c r="A15" i="120"/>
  <c r="A18" i="120"/>
  <c r="A19" i="120"/>
  <c r="A20" i="120"/>
  <c r="A21" i="120"/>
  <c r="A22" i="120"/>
  <c r="A23" i="120"/>
  <c r="A24" i="120"/>
  <c r="A25" i="120"/>
  <c r="A26" i="120"/>
  <c r="A27" i="120"/>
  <c r="A28" i="120"/>
  <c r="A29" i="120"/>
  <c r="A30" i="120"/>
  <c r="A31" i="120"/>
  <c r="A32" i="120"/>
  <c r="A33" i="120"/>
  <c r="A34" i="120"/>
  <c r="A35" i="120"/>
  <c r="A36" i="120"/>
  <c r="A37" i="120"/>
  <c r="A38" i="120"/>
  <c r="A39" i="120"/>
  <c r="A40" i="120"/>
  <c r="A41" i="120"/>
  <c r="A42" i="120"/>
  <c r="A43" i="120"/>
  <c r="A44" i="120"/>
  <c r="A45" i="120"/>
  <c r="A46" i="120"/>
  <c r="A68" i="120"/>
  <c r="A69" i="120"/>
  <c r="A70" i="120"/>
  <c r="A71" i="120"/>
  <c r="A72" i="120"/>
  <c r="A73" i="120"/>
  <c r="A74" i="120"/>
  <c r="A75" i="120"/>
  <c r="A76" i="120"/>
  <c r="A77" i="120"/>
  <c r="A78" i="120"/>
  <c r="E73" i="120"/>
  <c r="E74" i="120"/>
  <c r="E76" i="120"/>
  <c r="E78" i="120"/>
  <c r="E75" i="120"/>
  <c r="E77" i="120"/>
  <c r="E68" i="120"/>
  <c r="E69" i="120"/>
  <c r="E71" i="120"/>
  <c r="Z10" i="8" l="1"/>
  <c r="AB10" i="8"/>
  <c r="AU7" i="6"/>
  <c r="D5" i="6" s="1"/>
  <c r="C11" i="120"/>
  <c r="C50" i="120"/>
  <c r="D50" i="120" s="1"/>
  <c r="C74" i="120"/>
  <c r="D74" i="120" s="1"/>
  <c r="C76" i="120"/>
  <c r="D76" i="120" s="1"/>
  <c r="C69" i="120"/>
  <c r="D69" i="120" s="1"/>
  <c r="C73" i="120"/>
  <c r="D73" i="120" s="1"/>
  <c r="AN74" i="120"/>
  <c r="AN69" i="120"/>
  <c r="C60" i="120"/>
  <c r="D60" i="120" s="1"/>
  <c r="C55" i="120"/>
  <c r="D55" i="120" s="1"/>
  <c r="H9" i="120"/>
  <c r="AD10" i="1"/>
  <c r="CN11" i="1"/>
  <c r="CO11" i="1" s="1"/>
  <c r="C77" i="120"/>
  <c r="D77" i="120" s="1"/>
  <c r="C75" i="120"/>
  <c r="D75" i="120" s="1"/>
  <c r="C71" i="120"/>
  <c r="D71" i="120" s="1"/>
  <c r="C48" i="120"/>
  <c r="D48" i="120" s="1"/>
  <c r="C58" i="120"/>
  <c r="D58" i="120" s="1"/>
  <c r="AN75" i="120"/>
  <c r="AN73" i="120"/>
  <c r="C63" i="120"/>
  <c r="D63" i="120" s="1"/>
  <c r="C66" i="120"/>
  <c r="D66" i="120" s="1"/>
  <c r="C53" i="120"/>
  <c r="D53" i="120" s="1"/>
  <c r="F10" i="5"/>
  <c r="A29" i="11"/>
  <c r="E2" i="1"/>
  <c r="AU11" i="5"/>
  <c r="AU14" i="5"/>
  <c r="AO13" i="6"/>
  <c r="BX15" i="1"/>
  <c r="BX11" i="1"/>
  <c r="BX13" i="1"/>
  <c r="M22" i="6"/>
  <c r="AI12" i="120"/>
  <c r="BX12" i="1"/>
  <c r="AJ11" i="6"/>
  <c r="BX14" i="1"/>
  <c r="U16" i="6"/>
  <c r="AP11" i="5"/>
  <c r="T11" i="5"/>
  <c r="N22" i="6"/>
  <c r="AK16" i="6"/>
  <c r="AP12" i="120"/>
  <c r="T12" i="5"/>
  <c r="M11" i="4"/>
  <c r="AO11" i="6"/>
  <c r="E11" i="5"/>
  <c r="J11" i="8" s="1"/>
  <c r="I22" i="4"/>
  <c r="C51" i="120"/>
  <c r="D51" i="120" s="1"/>
  <c r="AO51" i="120"/>
  <c r="D10" i="1"/>
  <c r="AA10" i="1"/>
  <c r="C68" i="120"/>
  <c r="D68" i="120" s="1"/>
  <c r="BU10" i="1"/>
  <c r="BW11" i="1"/>
  <c r="BY12" i="1"/>
  <c r="G36" i="13"/>
  <c r="C36" i="13" s="1"/>
  <c r="E36" i="13"/>
  <c r="AG10" i="1"/>
  <c r="BV10" i="1"/>
  <c r="AN13" i="6"/>
  <c r="AN12" i="6"/>
  <c r="C10" i="118"/>
  <c r="AD10" i="118" s="1"/>
  <c r="AN11" i="120"/>
  <c r="K10" i="8"/>
  <c r="F10" i="6"/>
  <c r="C56" i="120"/>
  <c r="D56" i="120" s="1"/>
  <c r="AO56" i="120"/>
  <c r="F10" i="4"/>
  <c r="I10" i="8" s="1"/>
  <c r="AR12" i="120"/>
  <c r="G15" i="13"/>
  <c r="C15" i="13" s="1"/>
  <c r="E15" i="13"/>
  <c r="E79" i="13"/>
  <c r="C61" i="120"/>
  <c r="D61" i="120" s="1"/>
  <c r="AO61" i="120"/>
  <c r="C59" i="120"/>
  <c r="D59" i="120" s="1"/>
  <c r="C62" i="120"/>
  <c r="D62" i="120" s="1"/>
  <c r="C64" i="120"/>
  <c r="D64" i="120" s="1"/>
  <c r="C67" i="120"/>
  <c r="D67" i="120" s="1"/>
  <c r="C49" i="120"/>
  <c r="D49" i="120" s="1"/>
  <c r="C52" i="120"/>
  <c r="D52" i="120" s="1"/>
  <c r="C54" i="120"/>
  <c r="D54" i="120" s="1"/>
  <c r="C57" i="120"/>
  <c r="D57" i="120" s="1"/>
  <c r="S12" i="6"/>
  <c r="AP19" i="120"/>
  <c r="AI14" i="120"/>
  <c r="AO59" i="120"/>
  <c r="AO62" i="120"/>
  <c r="AO64" i="120"/>
  <c r="C65" i="120"/>
  <c r="D65" i="120" s="1"/>
  <c r="AO67" i="120"/>
  <c r="C47" i="120"/>
  <c r="D47" i="120" s="1"/>
  <c r="AO49" i="120"/>
  <c r="AO52" i="120"/>
  <c r="AO54" i="120"/>
  <c r="T12" i="6"/>
  <c r="AJ12" i="6"/>
  <c r="AI11" i="6"/>
  <c r="T11" i="6"/>
  <c r="AP13" i="120"/>
  <c r="AP14" i="120"/>
  <c r="AO12" i="6"/>
  <c r="E11" i="6"/>
  <c r="K11" i="8" s="1"/>
  <c r="Y11" i="1"/>
  <c r="CC11" i="1"/>
  <c r="C12" i="4"/>
  <c r="C11" i="4"/>
  <c r="AV11" i="5"/>
  <c r="C11" i="1"/>
  <c r="H11" i="1" s="1"/>
  <c r="N11" i="8" s="1"/>
  <c r="CD11" i="1"/>
  <c r="AB11" i="1"/>
  <c r="BX16" i="1"/>
  <c r="AG12" i="4"/>
  <c r="D11" i="4"/>
  <c r="AG11" i="4"/>
  <c r="U11" i="5"/>
  <c r="AI12" i="6"/>
  <c r="C11" i="5"/>
  <c r="D11" i="5" s="1"/>
  <c r="AT11" i="5"/>
  <c r="AP12" i="5"/>
  <c r="AQ13" i="120"/>
  <c r="AE11" i="1"/>
  <c r="O22" i="5"/>
  <c r="AW15" i="5"/>
  <c r="AN12" i="120"/>
  <c r="AF11" i="1"/>
  <c r="S11" i="5"/>
  <c r="V14" i="5"/>
  <c r="AR14" i="5"/>
  <c r="H13" i="120"/>
  <c r="AO13" i="120" s="1"/>
  <c r="S11" i="6"/>
  <c r="AW14" i="5"/>
  <c r="AJ12" i="120"/>
  <c r="H12" i="120"/>
  <c r="AO12" i="120" s="1"/>
  <c r="C12" i="6"/>
  <c r="Z11" i="1"/>
  <c r="BU11" i="1" s="1"/>
  <c r="AN11" i="6"/>
  <c r="AQ12" i="120"/>
  <c r="E76" i="13"/>
  <c r="G76" i="13"/>
  <c r="C76" i="13" s="1"/>
  <c r="CA16" i="1"/>
  <c r="H10" i="5"/>
  <c r="G10" i="5"/>
  <c r="A22" i="11"/>
  <c r="D4" i="8"/>
  <c r="E2" i="4"/>
  <c r="A25" i="11"/>
  <c r="A33" i="11"/>
  <c r="A30" i="11"/>
  <c r="D4" i="118"/>
  <c r="D2" i="6"/>
  <c r="A27" i="11"/>
  <c r="A28" i="11"/>
  <c r="D2" i="5"/>
  <c r="A23" i="11"/>
  <c r="A31" i="11"/>
  <c r="A32" i="11"/>
  <c r="A24" i="11"/>
  <c r="AL11" i="4"/>
  <c r="AO11" i="4"/>
  <c r="AP11" i="4" s="1"/>
  <c r="O7" i="13"/>
  <c r="M7" i="13" s="1"/>
  <c r="K7" i="13" s="1"/>
  <c r="I7" i="13" s="1"/>
  <c r="Q87" i="13"/>
  <c r="I87" i="14" s="1"/>
  <c r="Q91" i="13"/>
  <c r="I91" i="14" s="1"/>
  <c r="Q88" i="13"/>
  <c r="I88" i="14" s="1"/>
  <c r="Q97" i="13"/>
  <c r="I92" i="14" s="1"/>
  <c r="Q89" i="13"/>
  <c r="I89" i="14" s="1"/>
  <c r="Q98" i="13"/>
  <c r="I93" i="14" s="1"/>
  <c r="Q90" i="13"/>
  <c r="I90" i="14" s="1"/>
  <c r="Q99" i="13"/>
  <c r="I94" i="14" s="1"/>
  <c r="E40" i="13"/>
  <c r="G40" i="13"/>
  <c r="C40" i="13" s="1"/>
  <c r="E73" i="13"/>
  <c r="G73" i="13"/>
  <c r="C73" i="13" s="1"/>
  <c r="E81" i="13"/>
  <c r="G81" i="13"/>
  <c r="C81" i="13" s="1"/>
  <c r="AF12" i="1"/>
  <c r="AO14" i="6"/>
  <c r="E55" i="13"/>
  <c r="G55" i="13"/>
  <c r="C55" i="13" s="1"/>
  <c r="A11" i="1"/>
  <c r="A15" i="1"/>
  <c r="A19" i="1"/>
  <c r="A12" i="1"/>
  <c r="A16" i="1"/>
  <c r="A20" i="1"/>
  <c r="A10" i="1"/>
  <c r="A14" i="1"/>
  <c r="A18" i="1"/>
  <c r="A17" i="1"/>
  <c r="A13" i="1"/>
  <c r="E10" i="8"/>
  <c r="F10" i="1"/>
  <c r="Q95" i="13"/>
  <c r="Q94" i="13"/>
  <c r="Q96" i="13"/>
  <c r="Q93" i="13"/>
  <c r="Q92" i="13"/>
  <c r="O6" i="13"/>
  <c r="E10" i="13"/>
  <c r="G10" i="13"/>
  <c r="C10" i="13" s="1"/>
  <c r="E14" i="13"/>
  <c r="G14" i="13"/>
  <c r="C14" i="13" s="1"/>
  <c r="E43" i="13"/>
  <c r="G43" i="13"/>
  <c r="C43" i="13" s="1"/>
  <c r="G47" i="13"/>
  <c r="C47" i="13" s="1"/>
  <c r="E47" i="13"/>
  <c r="E51" i="13"/>
  <c r="G51" i="13"/>
  <c r="C51" i="13" s="1"/>
  <c r="E80" i="13"/>
  <c r="G80" i="13"/>
  <c r="C80" i="13" s="1"/>
  <c r="AH11" i="1"/>
  <c r="D10" i="8"/>
  <c r="H10" i="4"/>
  <c r="E45" i="13"/>
  <c r="G45" i="13"/>
  <c r="C45" i="13" s="1"/>
  <c r="G53" i="13"/>
  <c r="C53" i="13" s="1"/>
  <c r="E53" i="13"/>
  <c r="E78" i="13"/>
  <c r="G78" i="13"/>
  <c r="C78" i="13" s="1"/>
  <c r="AN10" i="120"/>
  <c r="C10" i="120"/>
  <c r="C78" i="120"/>
  <c r="D78" i="120" s="1"/>
  <c r="AO78" i="120"/>
  <c r="E12" i="13"/>
  <c r="G12" i="13"/>
  <c r="C12" i="13" s="1"/>
  <c r="E42" i="13"/>
  <c r="G42" i="13"/>
  <c r="C42" i="13" s="1"/>
  <c r="C70" i="120"/>
  <c r="D70" i="120" s="1"/>
  <c r="AO70" i="120"/>
  <c r="C72" i="120"/>
  <c r="D72" i="120" s="1"/>
  <c r="AO72" i="120"/>
  <c r="E48" i="13"/>
  <c r="G48" i="13"/>
  <c r="C48" i="13" s="1"/>
  <c r="E59" i="13"/>
  <c r="G59" i="13"/>
  <c r="C59" i="13" s="1"/>
  <c r="G9" i="13"/>
  <c r="C9" i="13" s="1"/>
  <c r="E9" i="13"/>
  <c r="E13" i="13"/>
  <c r="G13" i="13"/>
  <c r="C13" i="13" s="1"/>
  <c r="E46" i="13"/>
  <c r="G46" i="13"/>
  <c r="C46" i="13" s="1"/>
  <c r="E50" i="13"/>
  <c r="G50" i="13"/>
  <c r="C50" i="13" s="1"/>
  <c r="E54" i="13"/>
  <c r="G54" i="13"/>
  <c r="C54" i="13" s="1"/>
  <c r="E75" i="13"/>
  <c r="G75" i="13"/>
  <c r="C75" i="13" s="1"/>
  <c r="E83" i="13"/>
  <c r="G83" i="13"/>
  <c r="C83" i="13" s="1"/>
  <c r="E12" i="6"/>
  <c r="E58" i="13"/>
  <c r="G58" i="13"/>
  <c r="C58" i="13" s="1"/>
  <c r="G63" i="13"/>
  <c r="C63" i="13" s="1"/>
  <c r="E63" i="13"/>
  <c r="E65" i="13"/>
  <c r="G65" i="13"/>
  <c r="C65" i="13" s="1"/>
  <c r="E69" i="13"/>
  <c r="G69" i="13"/>
  <c r="C69" i="13" s="1"/>
  <c r="E11" i="13"/>
  <c r="G11" i="13"/>
  <c r="C11" i="13" s="1"/>
  <c r="E44" i="13"/>
  <c r="G44" i="13"/>
  <c r="C44" i="13" s="1"/>
  <c r="G52" i="13"/>
  <c r="C52" i="13" s="1"/>
  <c r="E52" i="13"/>
  <c r="E77" i="13"/>
  <c r="G77" i="13"/>
  <c r="C77" i="13" s="1"/>
  <c r="H10" i="1"/>
  <c r="AT7" i="6"/>
  <c r="E11" i="4"/>
  <c r="G57" i="13"/>
  <c r="C57" i="13" s="1"/>
  <c r="E57" i="13"/>
  <c r="E61" i="13"/>
  <c r="G61" i="13"/>
  <c r="C61" i="13" s="1"/>
  <c r="E66" i="13"/>
  <c r="G66" i="13"/>
  <c r="C66" i="13" s="1"/>
  <c r="E71" i="13"/>
  <c r="G71" i="13"/>
  <c r="C71" i="13" s="1"/>
  <c r="E8" i="13"/>
  <c r="G8" i="13"/>
  <c r="C8" i="13" s="1"/>
  <c r="G41" i="13"/>
  <c r="C41" i="13" s="1"/>
  <c r="E41" i="13"/>
  <c r="G49" i="13"/>
  <c r="C49" i="13" s="1"/>
  <c r="E49" i="13"/>
  <c r="E74" i="13"/>
  <c r="G74" i="13"/>
  <c r="C74" i="13" s="1"/>
  <c r="E82" i="13"/>
  <c r="G82" i="13"/>
  <c r="C82" i="13" s="1"/>
  <c r="E67" i="13"/>
  <c r="G67" i="13"/>
  <c r="C67" i="13" s="1"/>
  <c r="C11" i="6"/>
  <c r="E56" i="13"/>
  <c r="G56" i="13"/>
  <c r="C56" i="13" s="1"/>
  <c r="E64" i="13"/>
  <c r="G64" i="13"/>
  <c r="C64" i="13" s="1"/>
  <c r="E72" i="13"/>
  <c r="G72" i="13"/>
  <c r="C72" i="13" s="1"/>
  <c r="AC11" i="1"/>
  <c r="AH12" i="1"/>
  <c r="E60" i="13"/>
  <c r="G60" i="13"/>
  <c r="C60" i="13" s="1"/>
  <c r="G68" i="13"/>
  <c r="C68" i="13" s="1"/>
  <c r="E68" i="13"/>
  <c r="E62" i="13"/>
  <c r="G62" i="13"/>
  <c r="C62" i="13" s="1"/>
  <c r="E70" i="13"/>
  <c r="G70" i="13"/>
  <c r="C70" i="13" s="1"/>
  <c r="E19" i="13"/>
  <c r="G19" i="13"/>
  <c r="C19" i="13" s="1"/>
  <c r="E23" i="13"/>
  <c r="G23" i="13"/>
  <c r="C23" i="13" s="1"/>
  <c r="E27" i="13"/>
  <c r="G27" i="13"/>
  <c r="C27" i="13" s="1"/>
  <c r="G31" i="13"/>
  <c r="C31" i="13" s="1"/>
  <c r="E31" i="13"/>
  <c r="E35" i="13"/>
  <c r="G35" i="13"/>
  <c r="C35" i="13" s="1"/>
  <c r="E39" i="13"/>
  <c r="G39" i="13"/>
  <c r="C39" i="13" s="1"/>
  <c r="E18" i="13"/>
  <c r="G18" i="13"/>
  <c r="C18" i="13" s="1"/>
  <c r="E22" i="13"/>
  <c r="G22" i="13"/>
  <c r="C22" i="13" s="1"/>
  <c r="E26" i="13"/>
  <c r="G26" i="13"/>
  <c r="C26" i="13" s="1"/>
  <c r="E30" i="13"/>
  <c r="G30" i="13"/>
  <c r="C30" i="13" s="1"/>
  <c r="E34" i="13"/>
  <c r="G34" i="13"/>
  <c r="C34" i="13" s="1"/>
  <c r="E38" i="13"/>
  <c r="G38" i="13"/>
  <c r="C38" i="13" s="1"/>
  <c r="E20" i="13"/>
  <c r="G16" i="13"/>
  <c r="C16" i="13" s="1"/>
  <c r="E16" i="13"/>
  <c r="G17" i="13"/>
  <c r="C17" i="13" s="1"/>
  <c r="E17" i="13"/>
  <c r="E21" i="13"/>
  <c r="G21" i="13"/>
  <c r="C21" i="13" s="1"/>
  <c r="E29" i="13"/>
  <c r="G29" i="13"/>
  <c r="C29" i="13" s="1"/>
  <c r="E33" i="13"/>
  <c r="G33" i="13"/>
  <c r="C33" i="13" s="1"/>
  <c r="E37" i="13"/>
  <c r="G37" i="13"/>
  <c r="C37" i="13" s="1"/>
  <c r="E25" i="13"/>
  <c r="E24" i="13"/>
  <c r="G24" i="13"/>
  <c r="C24" i="13" s="1"/>
  <c r="E28" i="13"/>
  <c r="G28" i="13"/>
  <c r="C28" i="13" s="1"/>
  <c r="E32" i="13"/>
  <c r="G32" i="13"/>
  <c r="C32" i="13" s="1"/>
  <c r="G10" i="4" l="1"/>
  <c r="AU13" i="5"/>
  <c r="B8" i="1"/>
  <c r="CE7" i="1" s="1"/>
  <c r="AH10" i="8" s="1"/>
  <c r="A21" i="1"/>
  <c r="C13" i="6"/>
  <c r="D13" i="6" s="1"/>
  <c r="AP18" i="120"/>
  <c r="AP16" i="120"/>
  <c r="AP17" i="120"/>
  <c r="C14" i="6"/>
  <c r="D14" i="6" s="1"/>
  <c r="AI13" i="120"/>
  <c r="C12" i="1"/>
  <c r="H12" i="1" s="1"/>
  <c r="N12" i="8" s="1"/>
  <c r="E11" i="120"/>
  <c r="D11" i="120"/>
  <c r="F11" i="4"/>
  <c r="G11" i="4" s="1"/>
  <c r="AE12" i="1"/>
  <c r="F13" i="120"/>
  <c r="AN13" i="120" s="1"/>
  <c r="AR13" i="120"/>
  <c r="BY13" i="1"/>
  <c r="CK12" i="1"/>
  <c r="CR11" i="1" s="1"/>
  <c r="CS11" i="1" s="1"/>
  <c r="BZ12" i="1"/>
  <c r="BW12" i="1"/>
  <c r="F14" i="120"/>
  <c r="W22" i="11"/>
  <c r="L10" i="8"/>
  <c r="Y10" i="8"/>
  <c r="Y22" i="11"/>
  <c r="AE22" i="11" s="1"/>
  <c r="AA10" i="8"/>
  <c r="Y23" i="11"/>
  <c r="AE23" i="11" s="1"/>
  <c r="AA11" i="8"/>
  <c r="D12" i="4"/>
  <c r="F11" i="5"/>
  <c r="S12" i="5"/>
  <c r="AO12" i="5"/>
  <c r="T13" i="5"/>
  <c r="AP13" i="5"/>
  <c r="S13" i="5"/>
  <c r="AT12" i="5"/>
  <c r="C12" i="5"/>
  <c r="D12" i="5" s="1"/>
  <c r="S13" i="6"/>
  <c r="AI13" i="6"/>
  <c r="BX17" i="1"/>
  <c r="C11" i="8"/>
  <c r="CI11" i="1"/>
  <c r="CJ11" i="1" s="1"/>
  <c r="CP10" i="1" s="1"/>
  <c r="CQ10" i="1" s="1"/>
  <c r="AV12" i="5"/>
  <c r="H11" i="4"/>
  <c r="O11" i="8" s="1"/>
  <c r="D11" i="8"/>
  <c r="AJ11" i="4"/>
  <c r="AK11" i="4" s="1"/>
  <c r="AQ10" i="4" s="1"/>
  <c r="AR10" i="4" s="1"/>
  <c r="D12" i="6"/>
  <c r="G12" i="6" s="1"/>
  <c r="E13" i="6"/>
  <c r="AH12" i="4"/>
  <c r="M12" i="4"/>
  <c r="X23" i="11"/>
  <c r="AD23" i="11" s="1"/>
  <c r="Z11" i="8"/>
  <c r="AJ14" i="120"/>
  <c r="H14" i="120"/>
  <c r="P22" i="5"/>
  <c r="V15" i="5"/>
  <c r="AR15" i="5"/>
  <c r="C12" i="120"/>
  <c r="AQ14" i="120"/>
  <c r="U12" i="5"/>
  <c r="E13" i="5"/>
  <c r="AQ12" i="5"/>
  <c r="CC12" i="1"/>
  <c r="E12" i="5"/>
  <c r="J12" i="8" s="1"/>
  <c r="D13" i="4"/>
  <c r="Y12" i="1"/>
  <c r="E11" i="8"/>
  <c r="H11" i="5"/>
  <c r="P11" i="8" s="1"/>
  <c r="G11" i="5"/>
  <c r="AC12" i="1"/>
  <c r="BV12" i="1" s="1"/>
  <c r="AB12" i="1"/>
  <c r="CD12" i="1"/>
  <c r="AA11" i="1"/>
  <c r="AG11" i="1"/>
  <c r="AD11" i="1"/>
  <c r="D11" i="1"/>
  <c r="BV11" i="1"/>
  <c r="E12" i="4"/>
  <c r="AF12" i="4"/>
  <c r="O10" i="8"/>
  <c r="H10" i="8"/>
  <c r="G10" i="1"/>
  <c r="E7" i="13"/>
  <c r="G7" i="13"/>
  <c r="C7" i="13" s="1"/>
  <c r="Z12" i="1"/>
  <c r="CB16" i="1"/>
  <c r="N10" i="8"/>
  <c r="E12" i="1"/>
  <c r="D11" i="6"/>
  <c r="F11" i="6"/>
  <c r="E14" i="6"/>
  <c r="T13" i="6"/>
  <c r="AJ13" i="6"/>
  <c r="H12" i="4"/>
  <c r="O12" i="8" s="1"/>
  <c r="D12" i="8"/>
  <c r="AJ12" i="4"/>
  <c r="AI14" i="6"/>
  <c r="F11" i="1"/>
  <c r="E11" i="1"/>
  <c r="AO15" i="6"/>
  <c r="AL12" i="4"/>
  <c r="AQ11" i="4"/>
  <c r="AR11" i="4" s="1"/>
  <c r="A20" i="8"/>
  <c r="A12" i="8"/>
  <c r="A19" i="8"/>
  <c r="A10" i="8"/>
  <c r="A16" i="8"/>
  <c r="A21" i="8"/>
  <c r="A13" i="8"/>
  <c r="B6" i="8"/>
  <c r="A17" i="8"/>
  <c r="A15" i="8"/>
  <c r="A18" i="8"/>
  <c r="A14" i="8"/>
  <c r="A11" i="8"/>
  <c r="P10" i="8"/>
  <c r="F12" i="6"/>
  <c r="K12" i="8"/>
  <c r="AO13" i="5"/>
  <c r="K22" i="11"/>
  <c r="AC10" i="8"/>
  <c r="L22" i="11"/>
  <c r="R22" i="11" s="1"/>
  <c r="AD10" i="8"/>
  <c r="AF13" i="1"/>
  <c r="A11" i="6"/>
  <c r="A15" i="6"/>
  <c r="A19" i="6"/>
  <c r="A12" i="6"/>
  <c r="A16" i="6"/>
  <c r="A20" i="6"/>
  <c r="A10" i="6"/>
  <c r="A14" i="6"/>
  <c r="A18" i="6"/>
  <c r="A21" i="6"/>
  <c r="A17" i="6"/>
  <c r="AY7" i="6"/>
  <c r="AH13" i="8" s="1"/>
  <c r="B8" i="6"/>
  <c r="A13" i="6"/>
  <c r="D10" i="6"/>
  <c r="O95" i="13"/>
  <c r="O92" i="13"/>
  <c r="O96" i="13"/>
  <c r="O93" i="13"/>
  <c r="O94" i="13"/>
  <c r="M6" i="13"/>
  <c r="O90" i="13"/>
  <c r="D90" i="14" s="1"/>
  <c r="O99" i="13"/>
  <c r="D94" i="14" s="1"/>
  <c r="O89" i="13"/>
  <c r="D89" i="14" s="1"/>
  <c r="O98" i="13"/>
  <c r="D93" i="14" s="1"/>
  <c r="O88" i="13"/>
  <c r="D88" i="14" s="1"/>
  <c r="O97" i="13"/>
  <c r="D92" i="14" s="1"/>
  <c r="O87" i="13"/>
  <c r="D87" i="14" s="1"/>
  <c r="O91" i="13"/>
  <c r="D91" i="14" s="1"/>
  <c r="A11" i="5"/>
  <c r="A15" i="5"/>
  <c r="A19" i="5"/>
  <c r="A12" i="5"/>
  <c r="A16" i="5"/>
  <c r="A20" i="5"/>
  <c r="A10" i="5"/>
  <c r="A14" i="5"/>
  <c r="A18" i="5"/>
  <c r="A13" i="5"/>
  <c r="B8" i="5"/>
  <c r="A17" i="5"/>
  <c r="A21" i="5"/>
  <c r="AX7" i="5"/>
  <c r="AH12" i="8" s="1"/>
  <c r="C7" i="118"/>
  <c r="A16" i="118"/>
  <c r="A13" i="118"/>
  <c r="A21" i="118"/>
  <c r="A14" i="118"/>
  <c r="A11" i="118"/>
  <c r="A19" i="118"/>
  <c r="A18" i="118"/>
  <c r="A20" i="118"/>
  <c r="A15" i="118"/>
  <c r="A12" i="118"/>
  <c r="A17" i="118"/>
  <c r="A10" i="118"/>
  <c r="A11" i="4"/>
  <c r="A15" i="4"/>
  <c r="A19" i="4"/>
  <c r="A12" i="4"/>
  <c r="A16" i="4"/>
  <c r="A20" i="4"/>
  <c r="A10" i="4"/>
  <c r="A14" i="4"/>
  <c r="A18" i="4"/>
  <c r="A21" i="4"/>
  <c r="A13" i="4"/>
  <c r="B8" i="4"/>
  <c r="AH7" i="4"/>
  <c r="AH11" i="8" s="1"/>
  <c r="A17" i="4"/>
  <c r="CA17" i="1"/>
  <c r="AN14" i="120" l="1"/>
  <c r="C14" i="120"/>
  <c r="F13" i="6"/>
  <c r="AU15" i="5"/>
  <c r="AP20" i="120"/>
  <c r="K13" i="8"/>
  <c r="AA13" i="8" s="1"/>
  <c r="C12" i="8"/>
  <c r="C12" i="118" s="1"/>
  <c r="CI12" i="1"/>
  <c r="CJ12" i="1" s="1"/>
  <c r="CR10" i="1" s="1"/>
  <c r="CS10" i="1" s="1"/>
  <c r="S14" i="6"/>
  <c r="AN14" i="6"/>
  <c r="AB13" i="1"/>
  <c r="D14" i="4"/>
  <c r="C13" i="120"/>
  <c r="E13" i="120" s="1"/>
  <c r="I11" i="8"/>
  <c r="W23" i="11" s="1"/>
  <c r="F15" i="120"/>
  <c r="AN15" i="120" s="1"/>
  <c r="AI15" i="120"/>
  <c r="BZ13" i="1"/>
  <c r="BY14" i="1"/>
  <c r="Y13" i="1"/>
  <c r="Z22" i="11"/>
  <c r="AF22" i="11" s="1"/>
  <c r="AC22" i="11"/>
  <c r="BW13" i="1"/>
  <c r="AH13" i="1"/>
  <c r="E13" i="1" s="1"/>
  <c r="CK13" i="1"/>
  <c r="CT11" i="1" s="1"/>
  <c r="CU11" i="1" s="1"/>
  <c r="AR14" i="120"/>
  <c r="G13" i="6"/>
  <c r="AE13" i="1"/>
  <c r="F12" i="4"/>
  <c r="I12" i="8" s="1"/>
  <c r="F12" i="8"/>
  <c r="M24" i="11" s="1"/>
  <c r="S24" i="11" s="1"/>
  <c r="F12" i="5"/>
  <c r="F12" i="1"/>
  <c r="G12" i="1" s="1"/>
  <c r="AG13" i="4"/>
  <c r="AK12" i="4"/>
  <c r="AS10" i="4" s="1"/>
  <c r="AT10" i="4" s="1"/>
  <c r="AP21" i="120"/>
  <c r="AD11" i="8"/>
  <c r="L23" i="11"/>
  <c r="R23" i="11" s="1"/>
  <c r="AQ15" i="120"/>
  <c r="V16" i="5"/>
  <c r="AR16" i="5"/>
  <c r="AH13" i="4"/>
  <c r="C13" i="4"/>
  <c r="K23" i="11"/>
  <c r="Q23" i="11" s="1"/>
  <c r="AC11" i="8"/>
  <c r="AV13" i="5"/>
  <c r="E12" i="8"/>
  <c r="H12" i="5"/>
  <c r="P12" i="8" s="1"/>
  <c r="H12" i="6"/>
  <c r="Q12" i="8" s="1"/>
  <c r="G12" i="5"/>
  <c r="E14" i="5"/>
  <c r="AQ13" i="5"/>
  <c r="U13" i="5"/>
  <c r="D12" i="120"/>
  <c r="E12" i="120"/>
  <c r="H15" i="120"/>
  <c r="AJ15" i="120"/>
  <c r="BX18" i="1"/>
  <c r="T14" i="5"/>
  <c r="AP14" i="5"/>
  <c r="AU16" i="5"/>
  <c r="AO14" i="120"/>
  <c r="J23" i="11"/>
  <c r="P23" i="11" s="1"/>
  <c r="C11" i="118"/>
  <c r="AD11" i="118" s="1"/>
  <c r="AB11" i="8"/>
  <c r="AT13" i="5"/>
  <c r="C13" i="5"/>
  <c r="D13" i="5" s="1"/>
  <c r="G13" i="5" s="1"/>
  <c r="S14" i="5"/>
  <c r="M13" i="4"/>
  <c r="CD13" i="1"/>
  <c r="AC13" i="1"/>
  <c r="BV13" i="1" s="1"/>
  <c r="CC13" i="1"/>
  <c r="C13" i="1"/>
  <c r="H11" i="8"/>
  <c r="G11" i="1"/>
  <c r="AG12" i="1"/>
  <c r="G8" i="118"/>
  <c r="BB9" i="118" s="1"/>
  <c r="F8" i="118"/>
  <c r="AV9" i="118" s="1"/>
  <c r="C8" i="118"/>
  <c r="AD9" i="118" s="1"/>
  <c r="D8" i="118"/>
  <c r="AJ9" i="118" s="1"/>
  <c r="E8" i="118"/>
  <c r="AP9" i="118" s="1"/>
  <c r="CA18" i="1"/>
  <c r="F13" i="8"/>
  <c r="H13" i="6"/>
  <c r="Q13" i="8" s="1"/>
  <c r="Q22" i="11"/>
  <c r="AO14" i="5"/>
  <c r="X24" i="11"/>
  <c r="AD24" i="11" s="1"/>
  <c r="Z12" i="8"/>
  <c r="E15" i="6"/>
  <c r="T14" i="6"/>
  <c r="AJ14" i="6"/>
  <c r="F14" i="8"/>
  <c r="H14" i="6"/>
  <c r="Q14" i="8" s="1"/>
  <c r="CB17" i="1"/>
  <c r="AS11" i="4"/>
  <c r="AT11" i="4" s="1"/>
  <c r="AL13" i="4"/>
  <c r="M93" i="13"/>
  <c r="M92" i="13"/>
  <c r="M94" i="13"/>
  <c r="M96" i="13"/>
  <c r="M95" i="13"/>
  <c r="M87" i="13"/>
  <c r="I76" i="14" s="1"/>
  <c r="M89" i="13"/>
  <c r="I78" i="14" s="1"/>
  <c r="M91" i="13"/>
  <c r="I80" i="14" s="1"/>
  <c r="M98" i="13"/>
  <c r="I82" i="14" s="1"/>
  <c r="M88" i="13"/>
  <c r="I77" i="14" s="1"/>
  <c r="M90" i="13"/>
  <c r="I79" i="14" s="1"/>
  <c r="M97" i="13"/>
  <c r="I81" i="14" s="1"/>
  <c r="M99" i="13"/>
  <c r="I83" i="14" s="1"/>
  <c r="K6" i="13"/>
  <c r="AF14" i="1"/>
  <c r="K14" i="8"/>
  <c r="G14" i="6"/>
  <c r="F14" i="6"/>
  <c r="H11" i="6"/>
  <c r="Q11" i="8" s="1"/>
  <c r="R11" i="8" s="1"/>
  <c r="S11" i="8" s="1"/>
  <c r="F11" i="118" s="1"/>
  <c r="AV11" i="118" s="1"/>
  <c r="F11" i="8"/>
  <c r="G11" i="6"/>
  <c r="Z13" i="1"/>
  <c r="V22" i="11"/>
  <c r="X10" i="8"/>
  <c r="M10" i="8"/>
  <c r="E13" i="4"/>
  <c r="AF13" i="4"/>
  <c r="AA12" i="1"/>
  <c r="BU12" i="1"/>
  <c r="AD12" i="1"/>
  <c r="D12" i="1"/>
  <c r="F10" i="8"/>
  <c r="H10" i="6"/>
  <c r="G10" i="6"/>
  <c r="J13" i="8"/>
  <c r="Y24" i="11"/>
  <c r="AE24" i="11" s="1"/>
  <c r="AA12" i="8"/>
  <c r="AO16" i="6"/>
  <c r="AI15" i="6"/>
  <c r="K24" i="11"/>
  <c r="AC12" i="8"/>
  <c r="Y25" i="11" l="1"/>
  <c r="AE25" i="11" s="1"/>
  <c r="Y11" i="8"/>
  <c r="AB12" i="8"/>
  <c r="J24" i="11"/>
  <c r="P24" i="11" s="1"/>
  <c r="AG14" i="4"/>
  <c r="G12" i="4"/>
  <c r="AN15" i="6"/>
  <c r="C15" i="6"/>
  <c r="F15" i="6" s="1"/>
  <c r="S15" i="6"/>
  <c r="Y14" i="1"/>
  <c r="D13" i="120"/>
  <c r="E13" i="8"/>
  <c r="L25" i="11" s="1"/>
  <c r="R25" i="11" s="1"/>
  <c r="F13" i="5"/>
  <c r="L11" i="8"/>
  <c r="M11" i="8" s="1"/>
  <c r="E11" i="118" s="1"/>
  <c r="AP11" i="118" s="1"/>
  <c r="AB14" i="1"/>
  <c r="AE14" i="1"/>
  <c r="H12" i="8"/>
  <c r="V24" i="11" s="1"/>
  <c r="BZ14" i="1"/>
  <c r="CK14" i="1"/>
  <c r="CV11" i="1" s="1"/>
  <c r="CW11" i="1" s="1"/>
  <c r="BY15" i="1"/>
  <c r="R12" i="8"/>
  <c r="S12" i="8" s="1"/>
  <c r="F12" i="118" s="1"/>
  <c r="AV12" i="118" s="1"/>
  <c r="AR15" i="120"/>
  <c r="AH14" i="1"/>
  <c r="E14" i="1" s="1"/>
  <c r="BW14" i="1"/>
  <c r="F16" i="120"/>
  <c r="AN16" i="120" s="1"/>
  <c r="AI16" i="120"/>
  <c r="G12" i="8"/>
  <c r="D12" i="118" s="1"/>
  <c r="AJ12" i="118" s="1"/>
  <c r="AE12" i="8"/>
  <c r="H13" i="5"/>
  <c r="P13" i="8" s="1"/>
  <c r="AD12" i="8"/>
  <c r="L24" i="11"/>
  <c r="R24" i="11" s="1"/>
  <c r="C13" i="8"/>
  <c r="CI13" i="1"/>
  <c r="CJ13" i="1" s="1"/>
  <c r="CT10" i="1" s="1"/>
  <c r="CU10" i="1" s="1"/>
  <c r="H13" i="1"/>
  <c r="N13" i="8" s="1"/>
  <c r="AC14" i="1"/>
  <c r="BV14" i="1" s="1"/>
  <c r="CD14" i="1"/>
  <c r="AU17" i="5"/>
  <c r="H16" i="120"/>
  <c r="AJ16" i="120"/>
  <c r="C14" i="1"/>
  <c r="AV14" i="5"/>
  <c r="D13" i="8"/>
  <c r="AJ13" i="4"/>
  <c r="AK13" i="4" s="1"/>
  <c r="AU10" i="4" s="1"/>
  <c r="AV10" i="4" s="1"/>
  <c r="H13" i="4"/>
  <c r="O13" i="8" s="1"/>
  <c r="CC14" i="1"/>
  <c r="E14" i="120"/>
  <c r="D14" i="120"/>
  <c r="BX19" i="1"/>
  <c r="E15" i="5"/>
  <c r="U14" i="5"/>
  <c r="AQ14" i="5"/>
  <c r="AQ16" i="120"/>
  <c r="AP22" i="120"/>
  <c r="C14" i="5"/>
  <c r="D14" i="5" s="1"/>
  <c r="G14" i="5" s="1"/>
  <c r="AT14" i="5"/>
  <c r="S15" i="5"/>
  <c r="AP15" i="5"/>
  <c r="T15" i="5"/>
  <c r="AO15" i="120"/>
  <c r="C15" i="120"/>
  <c r="C14" i="4"/>
  <c r="M14" i="4"/>
  <c r="AH14" i="4"/>
  <c r="AI16" i="6"/>
  <c r="S16" i="6"/>
  <c r="M22" i="11"/>
  <c r="AE10" i="8"/>
  <c r="G10" i="8"/>
  <c r="AD12" i="118"/>
  <c r="E14" i="4"/>
  <c r="F14" i="4" s="1"/>
  <c r="AF14" i="4"/>
  <c r="E10" i="118"/>
  <c r="AA13" i="1"/>
  <c r="D13" i="1"/>
  <c r="BU13" i="1"/>
  <c r="AD13" i="1"/>
  <c r="F13" i="1"/>
  <c r="M23" i="11"/>
  <c r="G11" i="8"/>
  <c r="D11" i="118" s="1"/>
  <c r="AJ11" i="118" s="1"/>
  <c r="AE11" i="8"/>
  <c r="K95" i="13"/>
  <c r="K94" i="13"/>
  <c r="K92" i="13"/>
  <c r="K96" i="13"/>
  <c r="I6" i="13"/>
  <c r="K93" i="13"/>
  <c r="K88" i="13"/>
  <c r="D77" i="14" s="1"/>
  <c r="K90" i="13"/>
  <c r="D79" i="14" s="1"/>
  <c r="K97" i="13"/>
  <c r="D81" i="14" s="1"/>
  <c r="K99" i="13"/>
  <c r="D83" i="14" s="1"/>
  <c r="K87" i="13"/>
  <c r="D76" i="14" s="1"/>
  <c r="K89" i="13"/>
  <c r="D78" i="14" s="1"/>
  <c r="K91" i="13"/>
  <c r="D80" i="14" s="1"/>
  <c r="K98" i="13"/>
  <c r="D82" i="14" s="1"/>
  <c r="Z23" i="11"/>
  <c r="AF23" i="11" s="1"/>
  <c r="AC23" i="11"/>
  <c r="K15" i="8"/>
  <c r="X25" i="11"/>
  <c r="AD25" i="11" s="1"/>
  <c r="Z13" i="8"/>
  <c r="Q10" i="8"/>
  <c r="AB22" i="11"/>
  <c r="AA22" i="11"/>
  <c r="AG22" i="11" s="1"/>
  <c r="W24" i="11"/>
  <c r="L12" i="8"/>
  <c r="Y12" i="8"/>
  <c r="AU11" i="4"/>
  <c r="AV11" i="4" s="1"/>
  <c r="AL14" i="4"/>
  <c r="J14" i="8"/>
  <c r="CA19" i="1"/>
  <c r="CB18" i="1"/>
  <c r="AO15" i="5"/>
  <c r="C16" i="6"/>
  <c r="D16" i="6" s="1"/>
  <c r="AN16" i="6"/>
  <c r="AO17" i="6"/>
  <c r="Z14" i="1"/>
  <c r="Y26" i="11"/>
  <c r="AE26" i="11" s="1"/>
  <c r="AA14" i="8"/>
  <c r="AG13" i="1"/>
  <c r="M25" i="11"/>
  <c r="S25" i="11" s="1"/>
  <c r="AE13" i="8"/>
  <c r="Q24" i="11"/>
  <c r="AF15" i="1"/>
  <c r="F13" i="4"/>
  <c r="M26" i="11"/>
  <c r="S26" i="11" s="1"/>
  <c r="AE14" i="8"/>
  <c r="AJ15" i="6"/>
  <c r="T15" i="6"/>
  <c r="V23" i="11"/>
  <c r="X11" i="8"/>
  <c r="AG15" i="4" l="1"/>
  <c r="X12" i="8"/>
  <c r="N24" i="11"/>
  <c r="T24" i="11" s="1"/>
  <c r="M12" i="8"/>
  <c r="E12" i="118" s="1"/>
  <c r="AP12" i="118" s="1"/>
  <c r="D15" i="6"/>
  <c r="G15" i="6" s="1"/>
  <c r="O24" i="11"/>
  <c r="U24" i="11" s="1"/>
  <c r="G12" i="118" s="1"/>
  <c r="BB12" i="118" s="1"/>
  <c r="D15" i="4"/>
  <c r="AD13" i="8"/>
  <c r="F14" i="5"/>
  <c r="AE15" i="1"/>
  <c r="AH15" i="1"/>
  <c r="E15" i="1" s="1"/>
  <c r="BW15" i="1"/>
  <c r="F17" i="120"/>
  <c r="AN17" i="120" s="1"/>
  <c r="AI17" i="120"/>
  <c r="CK15" i="1"/>
  <c r="CX11" i="1" s="1"/>
  <c r="CY11" i="1" s="1"/>
  <c r="AR16" i="120"/>
  <c r="BY16" i="1"/>
  <c r="BZ15" i="1"/>
  <c r="AP23" i="120"/>
  <c r="AV15" i="5"/>
  <c r="H17" i="120"/>
  <c r="AJ17" i="120"/>
  <c r="C13" i="118"/>
  <c r="AD13" i="118" s="1"/>
  <c r="J25" i="11"/>
  <c r="P25" i="11" s="1"/>
  <c r="AB13" i="8"/>
  <c r="E15" i="120"/>
  <c r="D15" i="120"/>
  <c r="E14" i="8"/>
  <c r="H14" i="5"/>
  <c r="P14" i="8" s="1"/>
  <c r="BX20" i="1"/>
  <c r="AU18" i="5"/>
  <c r="T16" i="5"/>
  <c r="AP16" i="5"/>
  <c r="AQ17" i="120"/>
  <c r="U15" i="5"/>
  <c r="AQ15" i="5"/>
  <c r="AO16" i="120"/>
  <c r="C16" i="120"/>
  <c r="CD15" i="1"/>
  <c r="AB15" i="1"/>
  <c r="AC15" i="1"/>
  <c r="BV15" i="1" s="1"/>
  <c r="AH15" i="4"/>
  <c r="C15" i="4"/>
  <c r="M15" i="4"/>
  <c r="M16" i="4"/>
  <c r="C15" i="5"/>
  <c r="D15" i="5" s="1"/>
  <c r="G15" i="5" s="1"/>
  <c r="AT15" i="5"/>
  <c r="S16" i="5"/>
  <c r="D14" i="8"/>
  <c r="H14" i="4"/>
  <c r="O14" i="8" s="1"/>
  <c r="AJ14" i="4"/>
  <c r="AK14" i="4" s="1"/>
  <c r="AW10" i="4" s="1"/>
  <c r="AX10" i="4" s="1"/>
  <c r="CC15" i="1"/>
  <c r="Y15" i="1"/>
  <c r="C15" i="1"/>
  <c r="K25" i="11"/>
  <c r="Q25" i="11" s="1"/>
  <c r="AC13" i="8"/>
  <c r="G13" i="8"/>
  <c r="D13" i="118" s="1"/>
  <c r="AJ13" i="118" s="1"/>
  <c r="H14" i="1"/>
  <c r="N14" i="8" s="1"/>
  <c r="CI14" i="1"/>
  <c r="CJ14" i="1" s="1"/>
  <c r="CV10" i="1" s="1"/>
  <c r="CW10" i="1" s="1"/>
  <c r="C14" i="8"/>
  <c r="E17" i="6"/>
  <c r="AJ16" i="6"/>
  <c r="T16" i="6"/>
  <c r="D14" i="1"/>
  <c r="AA14" i="1"/>
  <c r="BU14" i="1"/>
  <c r="AD14" i="1"/>
  <c r="F14" i="1"/>
  <c r="AO18" i="6"/>
  <c r="F16" i="8"/>
  <c r="H16" i="6"/>
  <c r="Q16" i="8" s="1"/>
  <c r="AO16" i="5"/>
  <c r="CB19" i="1"/>
  <c r="CA21" i="1"/>
  <c r="CA20" i="1"/>
  <c r="W22" i="1"/>
  <c r="AL15" i="4"/>
  <c r="AW11" i="4"/>
  <c r="AX11" i="4" s="1"/>
  <c r="AG14" i="1"/>
  <c r="H13" i="8"/>
  <c r="G13" i="1"/>
  <c r="D10" i="118"/>
  <c r="AI17" i="6"/>
  <c r="S17" i="6"/>
  <c r="AB23" i="11"/>
  <c r="AA23" i="11"/>
  <c r="AG23" i="11" s="1"/>
  <c r="X26" i="11"/>
  <c r="AD26" i="11" s="1"/>
  <c r="Z14" i="8"/>
  <c r="E6" i="13"/>
  <c r="I94" i="13"/>
  <c r="I96" i="13"/>
  <c r="I93" i="13"/>
  <c r="I92" i="13"/>
  <c r="G6" i="13"/>
  <c r="I95" i="13"/>
  <c r="I87" i="13"/>
  <c r="I65" i="14" s="1"/>
  <c r="I89" i="13"/>
  <c r="I67" i="14" s="1"/>
  <c r="I91" i="13"/>
  <c r="I69" i="14" s="1"/>
  <c r="I98" i="13"/>
  <c r="I71" i="14" s="1"/>
  <c r="I90" i="13"/>
  <c r="I68" i="14" s="1"/>
  <c r="I99" i="13"/>
  <c r="I72" i="14" s="1"/>
  <c r="I97" i="13"/>
  <c r="I70" i="14" s="1"/>
  <c r="I88" i="13"/>
  <c r="I66" i="14" s="1"/>
  <c r="Y27" i="11"/>
  <c r="AE27" i="11" s="1"/>
  <c r="AA15" i="8"/>
  <c r="I14" i="8"/>
  <c r="G14" i="4"/>
  <c r="AP10" i="118"/>
  <c r="Z15" i="1"/>
  <c r="C17" i="6"/>
  <c r="AN17" i="6"/>
  <c r="D16" i="4"/>
  <c r="AG16" i="4"/>
  <c r="E15" i="4"/>
  <c r="AF15" i="4"/>
  <c r="AF16" i="1"/>
  <c r="R13" i="8"/>
  <c r="S13" i="8" s="1"/>
  <c r="F13" i="118" s="1"/>
  <c r="AV13" i="118" s="1"/>
  <c r="I13" i="8"/>
  <c r="G13" i="4"/>
  <c r="J15" i="8"/>
  <c r="AA24" i="11"/>
  <c r="AG24" i="11" s="1"/>
  <c r="AB24" i="11"/>
  <c r="Z24" i="11"/>
  <c r="AF24" i="11" s="1"/>
  <c r="AC24" i="11"/>
  <c r="R10" i="8"/>
  <c r="S23" i="11"/>
  <c r="O23" i="11"/>
  <c r="U23" i="11" s="1"/>
  <c r="G11" i="118" s="1"/>
  <c r="BB11" i="118" s="1"/>
  <c r="N23" i="11"/>
  <c r="T23" i="11" s="1"/>
  <c r="S22" i="11"/>
  <c r="N22" i="11"/>
  <c r="T22" i="11" s="1"/>
  <c r="O22" i="11"/>
  <c r="U22" i="11" s="1"/>
  <c r="G10" i="118" s="1"/>
  <c r="BB10" i="118" s="1"/>
  <c r="E16" i="6"/>
  <c r="F15" i="8" l="1"/>
  <c r="AE15" i="8" s="1"/>
  <c r="H15" i="6"/>
  <c r="Q15" i="8" s="1"/>
  <c r="F15" i="4"/>
  <c r="G15" i="4" s="1"/>
  <c r="R14" i="8"/>
  <c r="S14" i="8" s="1"/>
  <c r="F14" i="118" s="1"/>
  <c r="AV14" i="118" s="1"/>
  <c r="C16" i="1"/>
  <c r="CI16" i="1" s="1"/>
  <c r="BY17" i="1"/>
  <c r="CK16" i="1"/>
  <c r="F15" i="5"/>
  <c r="O25" i="11"/>
  <c r="U25" i="11" s="1"/>
  <c r="G13" i="118" s="1"/>
  <c r="BB13" i="118" s="1"/>
  <c r="AR17" i="120"/>
  <c r="AH16" i="1"/>
  <c r="E16" i="1" s="1"/>
  <c r="BW16" i="1"/>
  <c r="F18" i="120"/>
  <c r="AN18" i="120" s="1"/>
  <c r="AI18" i="120"/>
  <c r="AE16" i="1"/>
  <c r="BZ16" i="1"/>
  <c r="N25" i="11"/>
  <c r="T25" i="11" s="1"/>
  <c r="AJ15" i="4"/>
  <c r="AK15" i="4" s="1"/>
  <c r="AY10" i="4" s="1"/>
  <c r="AZ10" i="4" s="1"/>
  <c r="D15" i="8"/>
  <c r="H15" i="4"/>
  <c r="O15" i="8" s="1"/>
  <c r="AQ18" i="120"/>
  <c r="BX21" i="1"/>
  <c r="S22" i="1"/>
  <c r="AV16" i="5"/>
  <c r="C16" i="4"/>
  <c r="AH16" i="4"/>
  <c r="D16" i="120"/>
  <c r="E16" i="120"/>
  <c r="E17" i="5"/>
  <c r="AQ16" i="5"/>
  <c r="U16" i="5"/>
  <c r="L26" i="11"/>
  <c r="R26" i="11" s="1"/>
  <c r="AD14" i="8"/>
  <c r="H18" i="120"/>
  <c r="AJ18" i="120"/>
  <c r="AP24" i="120"/>
  <c r="AG15" i="1"/>
  <c r="E16" i="5"/>
  <c r="CI15" i="1"/>
  <c r="CJ15" i="1" s="1"/>
  <c r="CX10" i="1" s="1"/>
  <c r="CY10" i="1" s="1"/>
  <c r="C15" i="8"/>
  <c r="H15" i="1"/>
  <c r="N15" i="8" s="1"/>
  <c r="S17" i="5"/>
  <c r="AT16" i="5"/>
  <c r="C16" i="5"/>
  <c r="D16" i="5" s="1"/>
  <c r="AB16" i="1"/>
  <c r="AC16" i="1"/>
  <c r="BV16" i="1" s="1"/>
  <c r="CD16" i="1"/>
  <c r="AP17" i="5"/>
  <c r="T17" i="5"/>
  <c r="J26" i="11"/>
  <c r="AB14" i="8"/>
  <c r="C14" i="118"/>
  <c r="AD14" i="118" s="1"/>
  <c r="CC16" i="1"/>
  <c r="Y16" i="1"/>
  <c r="G14" i="8"/>
  <c r="D14" i="118" s="1"/>
  <c r="AJ14" i="118" s="1"/>
  <c r="K26" i="11"/>
  <c r="AC14" i="8"/>
  <c r="H15" i="5"/>
  <c r="P15" i="8" s="1"/>
  <c r="E15" i="8"/>
  <c r="AU19" i="5"/>
  <c r="AO17" i="120"/>
  <c r="C17" i="120"/>
  <c r="W26" i="11"/>
  <c r="Y14" i="8"/>
  <c r="L14" i="8"/>
  <c r="V25" i="11"/>
  <c r="X13" i="8"/>
  <c r="H14" i="8"/>
  <c r="G14" i="1"/>
  <c r="AF17" i="1"/>
  <c r="AJ10" i="118"/>
  <c r="M28" i="11"/>
  <c r="S28" i="11" s="1"/>
  <c r="AE16" i="8"/>
  <c r="S10" i="8"/>
  <c r="W25" i="11"/>
  <c r="L13" i="8"/>
  <c r="M13" i="8" s="1"/>
  <c r="Y13" i="8"/>
  <c r="D17" i="4"/>
  <c r="AG17" i="4"/>
  <c r="C18" i="6"/>
  <c r="D18" i="6" s="1"/>
  <c r="AN18" i="6"/>
  <c r="AA15" i="1"/>
  <c r="BU15" i="1"/>
  <c r="D15" i="1"/>
  <c r="F15" i="1"/>
  <c r="AD15" i="1"/>
  <c r="G93" i="13"/>
  <c r="G94" i="13"/>
  <c r="G95" i="13"/>
  <c r="G92" i="13"/>
  <c r="G96" i="13"/>
  <c r="C6" i="13"/>
  <c r="G88" i="13"/>
  <c r="D66" i="14" s="1"/>
  <c r="G90" i="13"/>
  <c r="D68" i="14" s="1"/>
  <c r="G97" i="13"/>
  <c r="D70" i="14" s="1"/>
  <c r="G99" i="13"/>
  <c r="D72" i="14" s="1"/>
  <c r="G89" i="13"/>
  <c r="D67" i="14" s="1"/>
  <c r="G98" i="13"/>
  <c r="D71" i="14" s="1"/>
  <c r="G87" i="13"/>
  <c r="D65" i="14" s="1"/>
  <c r="G91" i="13"/>
  <c r="D69" i="14" s="1"/>
  <c r="AI18" i="6"/>
  <c r="S18" i="6"/>
  <c r="X22" i="1"/>
  <c r="CB20" i="1"/>
  <c r="K16" i="8"/>
  <c r="F16" i="6"/>
  <c r="G16" i="6"/>
  <c r="X27" i="11"/>
  <c r="AD27" i="11" s="1"/>
  <c r="Z15" i="8"/>
  <c r="E16" i="4"/>
  <c r="F16" i="4" s="1"/>
  <c r="AF16" i="4"/>
  <c r="D17" i="6"/>
  <c r="G17" i="6" s="1"/>
  <c r="Z16" i="1"/>
  <c r="K17" i="8"/>
  <c r="F17" i="6"/>
  <c r="AL16" i="4"/>
  <c r="AY11" i="4"/>
  <c r="AZ11" i="4" s="1"/>
  <c r="AO17" i="5"/>
  <c r="AO19" i="6"/>
  <c r="E18" i="6"/>
  <c r="T17" i="6"/>
  <c r="AJ17" i="6"/>
  <c r="M27" i="11" l="1"/>
  <c r="S27" i="11" s="1"/>
  <c r="C16" i="8"/>
  <c r="AB16" i="8" s="1"/>
  <c r="I15" i="8"/>
  <c r="L15" i="8" s="1"/>
  <c r="H16" i="1"/>
  <c r="N16" i="8" s="1"/>
  <c r="AE17" i="1"/>
  <c r="F16" i="5"/>
  <c r="BW17" i="1"/>
  <c r="AH17" i="1"/>
  <c r="E17" i="1" s="1"/>
  <c r="BZ17" i="1"/>
  <c r="AI19" i="120"/>
  <c r="F19" i="120"/>
  <c r="AN19" i="120" s="1"/>
  <c r="AR18" i="120"/>
  <c r="CK17" i="1"/>
  <c r="DB11" i="1" s="1"/>
  <c r="DC11" i="1" s="1"/>
  <c r="CZ11" i="1"/>
  <c r="DA11" i="1" s="1"/>
  <c r="BY18" i="1"/>
  <c r="G16" i="5"/>
  <c r="CJ16" i="1"/>
  <c r="CZ10" i="1" s="1"/>
  <c r="DA10" i="1" s="1"/>
  <c r="J16" i="8"/>
  <c r="Z16" i="8" s="1"/>
  <c r="AU20" i="5"/>
  <c r="Q26" i="11"/>
  <c r="N26" i="11"/>
  <c r="T26" i="11" s="1"/>
  <c r="CC17" i="1"/>
  <c r="Y17" i="1"/>
  <c r="E16" i="8"/>
  <c r="H16" i="5"/>
  <c r="P16" i="8" s="1"/>
  <c r="AB15" i="8"/>
  <c r="C15" i="118"/>
  <c r="AD15" i="118" s="1"/>
  <c r="J27" i="11"/>
  <c r="H19" i="120"/>
  <c r="AJ19" i="120"/>
  <c r="AH17" i="4"/>
  <c r="C17" i="4"/>
  <c r="M17" i="4"/>
  <c r="C17" i="1"/>
  <c r="C17" i="8" s="1"/>
  <c r="AB17" i="1"/>
  <c r="AC17" i="1"/>
  <c r="BV17" i="1" s="1"/>
  <c r="CD17" i="1"/>
  <c r="C17" i="5"/>
  <c r="D17" i="5" s="1"/>
  <c r="G17" i="5" s="1"/>
  <c r="AT17" i="5"/>
  <c r="AV18" i="5"/>
  <c r="AV17" i="5"/>
  <c r="AQ19" i="120"/>
  <c r="O26" i="11"/>
  <c r="U26" i="11" s="1"/>
  <c r="G14" i="118" s="1"/>
  <c r="BB14" i="118" s="1"/>
  <c r="P26" i="11"/>
  <c r="T18" i="5"/>
  <c r="AP18" i="5"/>
  <c r="AO18" i="120"/>
  <c r="C18" i="120"/>
  <c r="E18" i="5"/>
  <c r="U17" i="5"/>
  <c r="AQ17" i="5"/>
  <c r="D16" i="8"/>
  <c r="H16" i="4"/>
  <c r="O16" i="8" s="1"/>
  <c r="AJ16" i="4"/>
  <c r="AK16" i="4" s="1"/>
  <c r="BA10" i="4" s="1"/>
  <c r="BB10" i="4" s="1"/>
  <c r="E17" i="120"/>
  <c r="D17" i="120"/>
  <c r="L27" i="11"/>
  <c r="R27" i="11" s="1"/>
  <c r="AD15" i="8"/>
  <c r="AP25" i="120"/>
  <c r="G15" i="8"/>
  <c r="D15" i="118" s="1"/>
  <c r="AJ15" i="118" s="1"/>
  <c r="AC15" i="8"/>
  <c r="K27" i="11"/>
  <c r="I16" i="8"/>
  <c r="G16" i="4"/>
  <c r="E13" i="118"/>
  <c r="Y29" i="11"/>
  <c r="AE29" i="11" s="1"/>
  <c r="AA17" i="8"/>
  <c r="E19" i="6"/>
  <c r="T18" i="6"/>
  <c r="AJ18" i="6"/>
  <c r="AO20" i="6"/>
  <c r="K22" i="6"/>
  <c r="Z17" i="1"/>
  <c r="J17" i="8"/>
  <c r="H18" i="6"/>
  <c r="Q18" i="8" s="1"/>
  <c r="F18" i="8"/>
  <c r="Z25" i="11"/>
  <c r="AF25" i="11" s="1"/>
  <c r="AC25" i="11"/>
  <c r="C16" i="118"/>
  <c r="V26" i="11"/>
  <c r="M14" i="8"/>
  <c r="E14" i="118" s="1"/>
  <c r="AP14" i="118" s="1"/>
  <c r="X14" i="8"/>
  <c r="K18" i="8"/>
  <c r="F18" i="6"/>
  <c r="G18" i="6"/>
  <c r="AL17" i="4"/>
  <c r="BA11" i="4"/>
  <c r="BB11" i="4" s="1"/>
  <c r="AA16" i="1"/>
  <c r="BU16" i="1"/>
  <c r="D16" i="1"/>
  <c r="F16" i="1"/>
  <c r="AD16" i="1"/>
  <c r="F17" i="8"/>
  <c r="H17" i="6"/>
  <c r="E17" i="4"/>
  <c r="F17" i="4" s="1"/>
  <c r="AF17" i="4"/>
  <c r="R15" i="8"/>
  <c r="Y28" i="11"/>
  <c r="AE28" i="11" s="1"/>
  <c r="AA16" i="8"/>
  <c r="CB21" i="1"/>
  <c r="AI19" i="6"/>
  <c r="S19" i="6"/>
  <c r="H15" i="8"/>
  <c r="G15" i="1"/>
  <c r="Z26" i="11"/>
  <c r="AF26" i="11" s="1"/>
  <c r="AC26" i="11"/>
  <c r="F10" i="118"/>
  <c r="AF18" i="1"/>
  <c r="AA25" i="11"/>
  <c r="AG25" i="11" s="1"/>
  <c r="AB25" i="11"/>
  <c r="AO18" i="5"/>
  <c r="C19" i="6"/>
  <c r="AN19" i="6"/>
  <c r="D18" i="4"/>
  <c r="AG18" i="4"/>
  <c r="AG16" i="1"/>
  <c r="J28" i="11" l="1"/>
  <c r="P28" i="11" s="1"/>
  <c r="Y15" i="8"/>
  <c r="W27" i="11"/>
  <c r="AC27" i="11" s="1"/>
  <c r="AB18" i="1"/>
  <c r="CI17" i="1"/>
  <c r="CJ17" i="1" s="1"/>
  <c r="DB10" i="1" s="1"/>
  <c r="DC10" i="1" s="1"/>
  <c r="X28" i="11"/>
  <c r="AD28" i="11" s="1"/>
  <c r="R16" i="8"/>
  <c r="S16" i="8" s="1"/>
  <c r="F16" i="118" s="1"/>
  <c r="AV16" i="118" s="1"/>
  <c r="BY19" i="1"/>
  <c r="AI20" i="120"/>
  <c r="F20" i="120"/>
  <c r="AN20" i="120" s="1"/>
  <c r="H17" i="1"/>
  <c r="N17" i="8" s="1"/>
  <c r="BZ18" i="1"/>
  <c r="BW18" i="1"/>
  <c r="AH18" i="1"/>
  <c r="E18" i="1" s="1"/>
  <c r="C18" i="1"/>
  <c r="C18" i="8" s="1"/>
  <c r="AR19" i="120"/>
  <c r="CK18" i="1"/>
  <c r="DD11" i="1" s="1"/>
  <c r="DE11" i="1" s="1"/>
  <c r="AE18" i="1"/>
  <c r="M22" i="5"/>
  <c r="D18" i="120"/>
  <c r="E18" i="120"/>
  <c r="AT18" i="5"/>
  <c r="C18" i="5"/>
  <c r="D18" i="5" s="1"/>
  <c r="E18" i="8" s="1"/>
  <c r="S19" i="5"/>
  <c r="S18" i="5"/>
  <c r="AQ18" i="5"/>
  <c r="U18" i="5"/>
  <c r="N22" i="5"/>
  <c r="E17" i="8"/>
  <c r="H17" i="5"/>
  <c r="P17" i="8" s="1"/>
  <c r="AH18" i="4"/>
  <c r="C18" i="4"/>
  <c r="M18" i="4"/>
  <c r="AJ20" i="120"/>
  <c r="H20" i="120"/>
  <c r="CC18" i="1"/>
  <c r="AU21" i="5"/>
  <c r="K22" i="5"/>
  <c r="Y18" i="1"/>
  <c r="F17" i="5"/>
  <c r="Q27" i="11"/>
  <c r="N27" i="11"/>
  <c r="T27" i="11" s="1"/>
  <c r="AP26" i="120"/>
  <c r="G16" i="8"/>
  <c r="D16" i="118" s="1"/>
  <c r="AJ16" i="118" s="1"/>
  <c r="K28" i="11"/>
  <c r="AC16" i="8"/>
  <c r="O27" i="11"/>
  <c r="U27" i="11" s="1"/>
  <c r="G15" i="118" s="1"/>
  <c r="BB15" i="118" s="1"/>
  <c r="P27" i="11"/>
  <c r="L28" i="11"/>
  <c r="R28" i="11" s="1"/>
  <c r="AD16" i="8"/>
  <c r="T19" i="5"/>
  <c r="AP19" i="5"/>
  <c r="AG17" i="1"/>
  <c r="AQ20" i="120"/>
  <c r="AC18" i="1"/>
  <c r="BV18" i="1" s="1"/>
  <c r="CD18" i="1"/>
  <c r="AJ17" i="4"/>
  <c r="AK17" i="4" s="1"/>
  <c r="BC10" i="4" s="1"/>
  <c r="BD10" i="4" s="1"/>
  <c r="D17" i="8"/>
  <c r="H17" i="4"/>
  <c r="O17" i="8" s="1"/>
  <c r="C19" i="120"/>
  <c r="AO19" i="120"/>
  <c r="I17" i="8"/>
  <c r="G17" i="4"/>
  <c r="S15" i="8"/>
  <c r="J29" i="11"/>
  <c r="C17" i="118"/>
  <c r="AD17" i="118" s="1"/>
  <c r="AB17" i="8"/>
  <c r="AP13" i="118"/>
  <c r="V27" i="11"/>
  <c r="M15" i="8"/>
  <c r="E15" i="118" s="1"/>
  <c r="AP15" i="118" s="1"/>
  <c r="X15" i="8"/>
  <c r="BC11" i="4"/>
  <c r="BD11" i="4" s="1"/>
  <c r="AL18" i="4"/>
  <c r="D19" i="4"/>
  <c r="AG19" i="4"/>
  <c r="D19" i="6"/>
  <c r="G19" i="6" s="1"/>
  <c r="E19" i="5"/>
  <c r="AO19" i="5"/>
  <c r="J22" i="6"/>
  <c r="S20" i="6"/>
  <c r="AI20" i="6"/>
  <c r="E18" i="4"/>
  <c r="F18" i="4" s="1"/>
  <c r="AF18" i="4"/>
  <c r="M29" i="11"/>
  <c r="S29" i="11" s="1"/>
  <c r="AE17" i="8"/>
  <c r="C20" i="6"/>
  <c r="D20" i="6" s="1"/>
  <c r="I22" i="6"/>
  <c r="AN20" i="6"/>
  <c r="J18" i="8"/>
  <c r="H16" i="8"/>
  <c r="G16" i="1"/>
  <c r="M30" i="11"/>
  <c r="S30" i="11" s="1"/>
  <c r="AE18" i="8"/>
  <c r="X29" i="11"/>
  <c r="AD29" i="11" s="1"/>
  <c r="Z17" i="8"/>
  <c r="D17" i="1"/>
  <c r="AA17" i="1"/>
  <c r="BU17" i="1"/>
  <c r="F17" i="1"/>
  <c r="AD17" i="1"/>
  <c r="AV10" i="118"/>
  <c r="K19" i="8"/>
  <c r="F19" i="6"/>
  <c r="AA26" i="11"/>
  <c r="AG26" i="11" s="1"/>
  <c r="AB26" i="11"/>
  <c r="W28" i="11"/>
  <c r="L16" i="8"/>
  <c r="Y16" i="8"/>
  <c r="AF19" i="1"/>
  <c r="Q17" i="8"/>
  <c r="Y30" i="11"/>
  <c r="AE30" i="11" s="1"/>
  <c r="AA18" i="8"/>
  <c r="AD16" i="118"/>
  <c r="Z18" i="1"/>
  <c r="T19" i="6"/>
  <c r="AJ19" i="6"/>
  <c r="Z27" i="11" l="1"/>
  <c r="AF27" i="11" s="1"/>
  <c r="H18" i="1"/>
  <c r="N18" i="8" s="1"/>
  <c r="AB18" i="8"/>
  <c r="J30" i="11"/>
  <c r="P30" i="11" s="1"/>
  <c r="C18" i="118"/>
  <c r="AD18" i="118" s="1"/>
  <c r="BZ19" i="1"/>
  <c r="CK19" i="1"/>
  <c r="DF11" i="1" s="1"/>
  <c r="DG11" i="1" s="1"/>
  <c r="AH19" i="1"/>
  <c r="E19" i="1" s="1"/>
  <c r="BW19" i="1"/>
  <c r="F18" i="5"/>
  <c r="AE19" i="1"/>
  <c r="CI18" i="1"/>
  <c r="CJ18" i="1" s="1"/>
  <c r="DD10" i="1" s="1"/>
  <c r="DE10" i="1" s="1"/>
  <c r="F21" i="120"/>
  <c r="AN21" i="120" s="1"/>
  <c r="AI21" i="120"/>
  <c r="AR20" i="120"/>
  <c r="BY20" i="1"/>
  <c r="C19" i="1"/>
  <c r="G18" i="5"/>
  <c r="O28" i="11"/>
  <c r="U28" i="11" s="1"/>
  <c r="G16" i="118" s="1"/>
  <c r="BB16" i="118" s="1"/>
  <c r="H18" i="5"/>
  <c r="P18" i="8" s="1"/>
  <c r="R17" i="8"/>
  <c r="S17" i="8" s="1"/>
  <c r="F17" i="118" s="1"/>
  <c r="AV17" i="118" s="1"/>
  <c r="T20" i="5"/>
  <c r="AP20" i="5"/>
  <c r="CC19" i="1"/>
  <c r="M19" i="4"/>
  <c r="M20" i="4"/>
  <c r="C19" i="4"/>
  <c r="AH19" i="4"/>
  <c r="C19" i="5"/>
  <c r="D19" i="5" s="1"/>
  <c r="G19" i="5" s="1"/>
  <c r="AT19" i="5"/>
  <c r="AB19" i="1"/>
  <c r="Y19" i="1"/>
  <c r="D19" i="120"/>
  <c r="E19" i="120"/>
  <c r="AP27" i="120"/>
  <c r="AQ21" i="120"/>
  <c r="N28" i="11"/>
  <c r="T28" i="11" s="1"/>
  <c r="Q28" i="11"/>
  <c r="AO20" i="120"/>
  <c r="C20" i="120"/>
  <c r="H18" i="4"/>
  <c r="O18" i="8" s="1"/>
  <c r="AJ18" i="4"/>
  <c r="AK18" i="4" s="1"/>
  <c r="BE10" i="4" s="1"/>
  <c r="BF10" i="4" s="1"/>
  <c r="D18" i="8"/>
  <c r="AD17" i="8"/>
  <c r="L29" i="11"/>
  <c r="R29" i="11" s="1"/>
  <c r="G17" i="8"/>
  <c r="D17" i="118" s="1"/>
  <c r="AC17" i="8"/>
  <c r="K29" i="11"/>
  <c r="Q29" i="11" s="1"/>
  <c r="AC19" i="1"/>
  <c r="BV19" i="1" s="1"/>
  <c r="CD19" i="1"/>
  <c r="H21" i="120"/>
  <c r="AJ21" i="120"/>
  <c r="D18" i="1"/>
  <c r="AA18" i="1"/>
  <c r="BU18" i="1"/>
  <c r="AD18" i="1"/>
  <c r="F18" i="1"/>
  <c r="AF20" i="1"/>
  <c r="K22" i="4"/>
  <c r="D20" i="4"/>
  <c r="AG20" i="4"/>
  <c r="AG18" i="1"/>
  <c r="Z19" i="1"/>
  <c r="T20" i="6"/>
  <c r="AJ20" i="6"/>
  <c r="L22" i="6"/>
  <c r="AC28" i="11"/>
  <c r="Z28" i="11"/>
  <c r="AF28" i="11" s="1"/>
  <c r="I18" i="8"/>
  <c r="G18" i="4"/>
  <c r="F20" i="8"/>
  <c r="H20" i="6"/>
  <c r="Q20" i="8" s="1"/>
  <c r="E20" i="6"/>
  <c r="J19" i="8"/>
  <c r="AB27" i="11"/>
  <c r="AA27" i="11"/>
  <c r="AG27" i="11" s="1"/>
  <c r="Y31" i="11"/>
  <c r="AE31" i="11" s="1"/>
  <c r="AA19" i="8"/>
  <c r="X30" i="11"/>
  <c r="AD30" i="11" s="1"/>
  <c r="Z18" i="8"/>
  <c r="E20" i="5"/>
  <c r="AO20" i="5"/>
  <c r="H17" i="8"/>
  <c r="G17" i="1"/>
  <c r="V28" i="11"/>
  <c r="M16" i="8"/>
  <c r="X16" i="8"/>
  <c r="F19" i="8"/>
  <c r="H19" i="6"/>
  <c r="L30" i="11"/>
  <c r="R30" i="11" s="1"/>
  <c r="AD18" i="8"/>
  <c r="F15" i="118"/>
  <c r="E21" i="6"/>
  <c r="S21" i="6"/>
  <c r="AI21" i="6"/>
  <c r="C21" i="6"/>
  <c r="AN21" i="6"/>
  <c r="E19" i="4"/>
  <c r="F19" i="4" s="1"/>
  <c r="AF19" i="4"/>
  <c r="AL19" i="4"/>
  <c r="BE11" i="4"/>
  <c r="BF11" i="4" s="1"/>
  <c r="P29" i="11"/>
  <c r="W29" i="11"/>
  <c r="L17" i="8"/>
  <c r="Y17" i="8"/>
  <c r="CK20" i="1" l="1"/>
  <c r="DH11" i="1" s="1"/>
  <c r="DI11" i="1" s="1"/>
  <c r="R18" i="8"/>
  <c r="S18" i="8" s="1"/>
  <c r="F18" i="118" s="1"/>
  <c r="AV18" i="118" s="1"/>
  <c r="Y20" i="1"/>
  <c r="BZ20" i="1"/>
  <c r="F22" i="120"/>
  <c r="AN22" i="120" s="1"/>
  <c r="AI22" i="120"/>
  <c r="AR21" i="120"/>
  <c r="BW20" i="1"/>
  <c r="AH20" i="1"/>
  <c r="E20" i="1" s="1"/>
  <c r="O29" i="11"/>
  <c r="U29" i="11" s="1"/>
  <c r="G17" i="118" s="1"/>
  <c r="BB17" i="118" s="1"/>
  <c r="N29" i="11"/>
  <c r="T29" i="11" s="1"/>
  <c r="AG19" i="1"/>
  <c r="BY21" i="1"/>
  <c r="U22" i="1"/>
  <c r="CK21" i="1"/>
  <c r="DJ11" i="1" s="1"/>
  <c r="DK11" i="1" s="1"/>
  <c r="I22" i="1"/>
  <c r="CI19" i="1"/>
  <c r="CJ19" i="1" s="1"/>
  <c r="DF10" i="1" s="1"/>
  <c r="DG10" i="1" s="1"/>
  <c r="H19" i="1"/>
  <c r="N19" i="8" s="1"/>
  <c r="C19" i="8"/>
  <c r="F19" i="5"/>
  <c r="AC20" i="1"/>
  <c r="BV20" i="1" s="1"/>
  <c r="CD20" i="1"/>
  <c r="AQ22" i="120"/>
  <c r="D19" i="8"/>
  <c r="H19" i="4"/>
  <c r="O19" i="8" s="1"/>
  <c r="AJ19" i="4"/>
  <c r="AK19" i="4" s="1"/>
  <c r="BG10" i="4" s="1"/>
  <c r="BH10" i="4" s="1"/>
  <c r="C20" i="1"/>
  <c r="C20" i="8" s="1"/>
  <c r="AO21" i="120"/>
  <c r="C21" i="120"/>
  <c r="H19" i="5"/>
  <c r="P19" i="8" s="1"/>
  <c r="E19" i="8"/>
  <c r="C20" i="4"/>
  <c r="AH20" i="4"/>
  <c r="AJ22" i="120"/>
  <c r="H22" i="120"/>
  <c r="D20" i="120"/>
  <c r="E20" i="120"/>
  <c r="AP28" i="120"/>
  <c r="C20" i="5"/>
  <c r="D20" i="5" s="1"/>
  <c r="G20" i="5" s="1"/>
  <c r="AT20" i="5"/>
  <c r="S20" i="5"/>
  <c r="AB20" i="1"/>
  <c r="AE20" i="1"/>
  <c r="AC18" i="8"/>
  <c r="K30" i="11"/>
  <c r="Q30" i="11" s="1"/>
  <c r="G18" i="8"/>
  <c r="D18" i="118" s="1"/>
  <c r="AJ18" i="118" s="1"/>
  <c r="CC20" i="1"/>
  <c r="T21" i="5"/>
  <c r="AP21" i="5"/>
  <c r="L22" i="5"/>
  <c r="I19" i="8"/>
  <c r="G19" i="4"/>
  <c r="AL20" i="4"/>
  <c r="BG11" i="4"/>
  <c r="BH11" i="4" s="1"/>
  <c r="E16" i="118"/>
  <c r="M32" i="11"/>
  <c r="S32" i="11" s="1"/>
  <c r="AE20" i="8"/>
  <c r="AV15" i="118"/>
  <c r="AJ17" i="118"/>
  <c r="M17" i="8"/>
  <c r="E17" i="118" s="1"/>
  <c r="AP17" i="118" s="1"/>
  <c r="X17" i="8"/>
  <c r="V29" i="11"/>
  <c r="J20" i="8"/>
  <c r="Z29" i="11"/>
  <c r="AF29" i="11" s="1"/>
  <c r="AC29" i="11"/>
  <c r="E20" i="4"/>
  <c r="F20" i="4" s="1"/>
  <c r="AF20" i="4"/>
  <c r="Q19" i="8"/>
  <c r="E21" i="5"/>
  <c r="AO21" i="5"/>
  <c r="J22" i="5"/>
  <c r="W30" i="11"/>
  <c r="L18" i="8"/>
  <c r="Y18" i="8"/>
  <c r="H18" i="8"/>
  <c r="G18" i="1"/>
  <c r="M31" i="11"/>
  <c r="S31" i="11" s="1"/>
  <c r="AE19" i="8"/>
  <c r="D21" i="6"/>
  <c r="G21" i="6" s="1"/>
  <c r="C22" i="6"/>
  <c r="K21" i="8"/>
  <c r="F21" i="6"/>
  <c r="E22" i="6"/>
  <c r="AA28" i="11"/>
  <c r="AG28" i="11" s="1"/>
  <c r="AB28" i="11"/>
  <c r="AA19" i="1"/>
  <c r="BU19" i="1"/>
  <c r="D19" i="1"/>
  <c r="AD19" i="1"/>
  <c r="F19" i="1"/>
  <c r="X31" i="11"/>
  <c r="AD31" i="11" s="1"/>
  <c r="Z19" i="8"/>
  <c r="K20" i="8"/>
  <c r="G20" i="6"/>
  <c r="F20" i="6"/>
  <c r="Z20" i="1"/>
  <c r="D21" i="4"/>
  <c r="AG21" i="4"/>
  <c r="AF21" i="1"/>
  <c r="N22" i="1"/>
  <c r="AE21" i="1" l="1"/>
  <c r="H20" i="1"/>
  <c r="N20" i="8" s="1"/>
  <c r="AR22" i="120"/>
  <c r="AI23" i="120"/>
  <c r="F23" i="120"/>
  <c r="AN23" i="120" s="1"/>
  <c r="Q22" i="1"/>
  <c r="BW21" i="1"/>
  <c r="AH21" i="1"/>
  <c r="N30" i="11"/>
  <c r="T30" i="11" s="1"/>
  <c r="BZ21" i="1"/>
  <c r="V22" i="1"/>
  <c r="O30" i="11"/>
  <c r="U30" i="11" s="1"/>
  <c r="G18" i="118" s="1"/>
  <c r="BB18" i="118" s="1"/>
  <c r="C19" i="118"/>
  <c r="AD19" i="118" s="1"/>
  <c r="J31" i="11"/>
  <c r="P31" i="11" s="1"/>
  <c r="AB19" i="8"/>
  <c r="J22" i="1"/>
  <c r="Y21" i="1"/>
  <c r="C21" i="1"/>
  <c r="CC21" i="1"/>
  <c r="AT21" i="5"/>
  <c r="C21" i="5"/>
  <c r="F21" i="5" s="1"/>
  <c r="AO22" i="120"/>
  <c r="C22" i="120"/>
  <c r="M21" i="4"/>
  <c r="C21" i="4"/>
  <c r="AH21" i="4"/>
  <c r="J22" i="4"/>
  <c r="D21" i="120"/>
  <c r="E21" i="120"/>
  <c r="AB21" i="1"/>
  <c r="AC21" i="1"/>
  <c r="CD21" i="1"/>
  <c r="Z21" i="1"/>
  <c r="BU21" i="1" s="1"/>
  <c r="CI20" i="1"/>
  <c r="CJ20" i="1" s="1"/>
  <c r="DH10" i="1" s="1"/>
  <c r="DI10" i="1" s="1"/>
  <c r="F22" i="6"/>
  <c r="S21" i="5"/>
  <c r="F20" i="5"/>
  <c r="C22" i="1"/>
  <c r="I22" i="5"/>
  <c r="AP29" i="120"/>
  <c r="AJ23" i="120"/>
  <c r="H23" i="120"/>
  <c r="AJ20" i="4"/>
  <c r="AK20" i="4" s="1"/>
  <c r="BI10" i="4" s="1"/>
  <c r="BJ10" i="4" s="1"/>
  <c r="D20" i="8"/>
  <c r="H20" i="4"/>
  <c r="O20" i="8" s="1"/>
  <c r="AQ23" i="120"/>
  <c r="L31" i="11"/>
  <c r="R31" i="11" s="1"/>
  <c r="AD19" i="8"/>
  <c r="AC19" i="8"/>
  <c r="K31" i="11"/>
  <c r="G19" i="8"/>
  <c r="D19" i="118" s="1"/>
  <c r="H20" i="5"/>
  <c r="P20" i="8" s="1"/>
  <c r="E20" i="8"/>
  <c r="L22" i="1"/>
  <c r="J32" i="11"/>
  <c r="AB20" i="8"/>
  <c r="C20" i="118"/>
  <c r="AD20" i="118" s="1"/>
  <c r="H19" i="8"/>
  <c r="G19" i="1"/>
  <c r="AA29" i="11"/>
  <c r="AG29" i="11" s="1"/>
  <c r="AB29" i="11"/>
  <c r="BI11" i="4"/>
  <c r="BJ11" i="4" s="1"/>
  <c r="AL21" i="4"/>
  <c r="BK11" i="4" s="1"/>
  <c r="BL11" i="4" s="1"/>
  <c r="Y33" i="11"/>
  <c r="AE33" i="11" s="1"/>
  <c r="AA21" i="8"/>
  <c r="K22" i="8"/>
  <c r="R19" i="8"/>
  <c r="V30" i="11"/>
  <c r="M18" i="8"/>
  <c r="E18" i="118" s="1"/>
  <c r="AP18" i="118" s="1"/>
  <c r="X18" i="8"/>
  <c r="J21" i="8"/>
  <c r="E22" i="5"/>
  <c r="X32" i="11"/>
  <c r="AD32" i="11" s="1"/>
  <c r="Z20" i="8"/>
  <c r="D22" i="4"/>
  <c r="I20" i="8"/>
  <c r="G20" i="4"/>
  <c r="AC30" i="11"/>
  <c r="Z30" i="11"/>
  <c r="AF30" i="11" s="1"/>
  <c r="E21" i="4"/>
  <c r="E22" i="4" s="1"/>
  <c r="AF21" i="4"/>
  <c r="L22" i="4"/>
  <c r="AA20" i="1"/>
  <c r="BU20" i="1"/>
  <c r="D20" i="1"/>
  <c r="F20" i="1"/>
  <c r="AD20" i="1"/>
  <c r="Y32" i="11"/>
  <c r="AE32" i="11" s="1"/>
  <c r="AA20" i="8"/>
  <c r="AG20" i="1"/>
  <c r="D4" i="6"/>
  <c r="AF22" i="1"/>
  <c r="F21" i="8"/>
  <c r="H21" i="6"/>
  <c r="D22" i="6"/>
  <c r="G22" i="6" s="1"/>
  <c r="AP16" i="118"/>
  <c r="L19" i="8"/>
  <c r="Y19" i="8"/>
  <c r="W31" i="11"/>
  <c r="Z22" i="1" l="1"/>
  <c r="AG21" i="1"/>
  <c r="R20" i="8"/>
  <c r="S20" i="8" s="1"/>
  <c r="F20" i="118" s="1"/>
  <c r="AV20" i="118" s="1"/>
  <c r="E21" i="1"/>
  <c r="E22" i="1" s="1"/>
  <c r="AH22" i="1"/>
  <c r="AA21" i="1"/>
  <c r="F24" i="120"/>
  <c r="AN24" i="120" s="1"/>
  <c r="AI24" i="120"/>
  <c r="AR23" i="120"/>
  <c r="D21" i="1"/>
  <c r="Q31" i="11"/>
  <c r="O31" i="11"/>
  <c r="U31" i="11" s="1"/>
  <c r="G19" i="118" s="1"/>
  <c r="BB19" i="118" s="1"/>
  <c r="G20" i="8"/>
  <c r="D20" i="118" s="1"/>
  <c r="AJ20" i="118" s="1"/>
  <c r="K32" i="11"/>
  <c r="AC20" i="8"/>
  <c r="AQ24" i="120"/>
  <c r="AO23" i="120"/>
  <c r="C23" i="120"/>
  <c r="AP30" i="120"/>
  <c r="D22" i="1"/>
  <c r="H24" i="120"/>
  <c r="AJ24" i="120"/>
  <c r="BV21" i="1"/>
  <c r="AC22" i="1"/>
  <c r="D22" i="120"/>
  <c r="E22" i="120"/>
  <c r="CI21" i="1"/>
  <c r="CJ21" i="1" s="1"/>
  <c r="DJ10" i="1" s="1"/>
  <c r="DK10" i="1" s="1"/>
  <c r="C21" i="8"/>
  <c r="H21" i="1"/>
  <c r="N31" i="11"/>
  <c r="T31" i="11" s="1"/>
  <c r="AD20" i="8"/>
  <c r="L32" i="11"/>
  <c r="R32" i="11" s="1"/>
  <c r="AD21" i="1"/>
  <c r="F21" i="1"/>
  <c r="H21" i="4"/>
  <c r="AJ21" i="4"/>
  <c r="AK21" i="4" s="1"/>
  <c r="BK10" i="4" s="1"/>
  <c r="BL10" i="4" s="1"/>
  <c r="C22" i="4"/>
  <c r="D21" i="8"/>
  <c r="D21" i="5"/>
  <c r="C22" i="5"/>
  <c r="F22" i="5" s="1"/>
  <c r="D4" i="5" s="1"/>
  <c r="H20" i="8"/>
  <c r="G20" i="1"/>
  <c r="M33" i="11"/>
  <c r="S33" i="11" s="1"/>
  <c r="AE21" i="8"/>
  <c r="F22" i="8"/>
  <c r="Z31" i="11"/>
  <c r="AF31" i="11" s="1"/>
  <c r="AC31" i="11"/>
  <c r="S19" i="8"/>
  <c r="F21" i="4"/>
  <c r="X33" i="11"/>
  <c r="AD33" i="11" s="1"/>
  <c r="Z21" i="8"/>
  <c r="J22" i="8"/>
  <c r="AB30" i="11"/>
  <c r="AA30" i="11"/>
  <c r="AG30" i="11" s="1"/>
  <c r="P32" i="11"/>
  <c r="V31" i="11"/>
  <c r="X19" i="8"/>
  <c r="M19" i="8"/>
  <c r="E19" i="118" s="1"/>
  <c r="AP19" i="118" s="1"/>
  <c r="Q21" i="8"/>
  <c r="Q22" i="8" s="1"/>
  <c r="H22" i="6"/>
  <c r="W32" i="11"/>
  <c r="L20" i="8"/>
  <c r="Y20" i="8"/>
  <c r="AJ19" i="118"/>
  <c r="O32" i="11" l="1"/>
  <c r="U32" i="11" s="1"/>
  <c r="G20" i="118" s="1"/>
  <c r="BB20" i="118" s="1"/>
  <c r="AR24" i="120"/>
  <c r="F25" i="120"/>
  <c r="AN25" i="120" s="1"/>
  <c r="AI25" i="120"/>
  <c r="H22" i="1"/>
  <c r="N21" i="8"/>
  <c r="N22" i="8" s="1"/>
  <c r="AP31" i="120"/>
  <c r="AC21" i="8"/>
  <c r="K33" i="11"/>
  <c r="Q33" i="11" s="1"/>
  <c r="D22" i="8"/>
  <c r="H21" i="8"/>
  <c r="H22" i="8" s="1"/>
  <c r="G21" i="1"/>
  <c r="H25" i="120"/>
  <c r="AJ25" i="120"/>
  <c r="Q32" i="11"/>
  <c r="N32" i="11"/>
  <c r="T32" i="11" s="1"/>
  <c r="F22" i="1"/>
  <c r="E4" i="1" s="1"/>
  <c r="E21" i="8"/>
  <c r="G21" i="5"/>
  <c r="D22" i="5"/>
  <c r="G22" i="5" s="1"/>
  <c r="H21" i="5"/>
  <c r="O21" i="8"/>
  <c r="O22" i="8" s="1"/>
  <c r="H22" i="4"/>
  <c r="C22" i="8"/>
  <c r="C21" i="118"/>
  <c r="AB21" i="8"/>
  <c r="J33" i="11"/>
  <c r="AO24" i="120"/>
  <c r="C24" i="120"/>
  <c r="D23" i="120"/>
  <c r="E23" i="120"/>
  <c r="AQ25" i="120"/>
  <c r="Z32" i="11"/>
  <c r="AF32" i="11" s="1"/>
  <c r="AC32" i="11"/>
  <c r="I21" i="8"/>
  <c r="G21" i="4"/>
  <c r="F22" i="4"/>
  <c r="G22" i="4" s="1"/>
  <c r="E4" i="4" s="1"/>
  <c r="AA31" i="11"/>
  <c r="AG31" i="11" s="1"/>
  <c r="AB31" i="11"/>
  <c r="F19" i="118"/>
  <c r="M20" i="8"/>
  <c r="E20" i="118" s="1"/>
  <c r="AP20" i="118" s="1"/>
  <c r="V32" i="11"/>
  <c r="X20" i="8"/>
  <c r="AR25" i="120" l="1"/>
  <c r="AI26" i="120"/>
  <c r="F26" i="120"/>
  <c r="AN26" i="120" s="1"/>
  <c r="AD21" i="118"/>
  <c r="C22" i="118"/>
  <c r="H22" i="5"/>
  <c r="P21" i="8"/>
  <c r="C25" i="120"/>
  <c r="AO25" i="120"/>
  <c r="AP32" i="120"/>
  <c r="G22" i="1"/>
  <c r="P33" i="11"/>
  <c r="AD21" i="8"/>
  <c r="L33" i="11"/>
  <c r="O33" i="11" s="1"/>
  <c r="U33" i="11" s="1"/>
  <c r="G21" i="118" s="1"/>
  <c r="BB21" i="118" s="1"/>
  <c r="G21" i="8"/>
  <c r="E22" i="8"/>
  <c r="V33" i="11"/>
  <c r="AB33" i="11" s="1"/>
  <c r="X21" i="8"/>
  <c r="D24" i="120"/>
  <c r="E24" i="120"/>
  <c r="AQ26" i="120"/>
  <c r="H26" i="120"/>
  <c r="AJ26" i="120"/>
  <c r="AA32" i="11"/>
  <c r="AG32" i="11" s="1"/>
  <c r="AB32" i="11"/>
  <c r="W33" i="11"/>
  <c r="L21" i="8"/>
  <c r="Y21" i="8"/>
  <c r="I22" i="8"/>
  <c r="AV19" i="118"/>
  <c r="F27" i="120" l="1"/>
  <c r="AN27" i="120" s="1"/>
  <c r="AI27" i="120"/>
  <c r="AR26" i="120"/>
  <c r="H27" i="120"/>
  <c r="AJ27" i="120"/>
  <c r="R33" i="11"/>
  <c r="N33" i="11"/>
  <c r="T33" i="11" s="1"/>
  <c r="D25" i="120"/>
  <c r="E25" i="120"/>
  <c r="AQ27" i="120"/>
  <c r="AP33" i="120"/>
  <c r="R21" i="8"/>
  <c r="P22" i="8"/>
  <c r="C26" i="120"/>
  <c r="AO26" i="120"/>
  <c r="D21" i="118"/>
  <c r="G22" i="8"/>
  <c r="L22" i="8"/>
  <c r="M21" i="8"/>
  <c r="Z33" i="11"/>
  <c r="AF33" i="11" s="1"/>
  <c r="AC33" i="11"/>
  <c r="AA33" i="11"/>
  <c r="AG33" i="11" s="1"/>
  <c r="AR27" i="120" l="1"/>
  <c r="AI28" i="120"/>
  <c r="F28" i="120"/>
  <c r="AN28" i="120" s="1"/>
  <c r="D26" i="120"/>
  <c r="E26" i="120"/>
  <c r="AP34" i="120"/>
  <c r="AJ21" i="118"/>
  <c r="D22" i="118"/>
  <c r="S21" i="8"/>
  <c r="R22" i="8"/>
  <c r="H28" i="120"/>
  <c r="AJ28" i="120"/>
  <c r="AQ28" i="120"/>
  <c r="AO27" i="120"/>
  <c r="C27" i="120"/>
  <c r="E21" i="118"/>
  <c r="M22" i="8"/>
  <c r="F29" i="120" l="1"/>
  <c r="AN29" i="120" s="1"/>
  <c r="AI29" i="120"/>
  <c r="AR28" i="120"/>
  <c r="H29" i="120"/>
  <c r="AJ29" i="120"/>
  <c r="AO28" i="120"/>
  <c r="C28" i="120"/>
  <c r="D27" i="120"/>
  <c r="E27" i="120"/>
  <c r="AQ29" i="120"/>
  <c r="AP35" i="120"/>
  <c r="S22" i="8"/>
  <c r="F21" i="118"/>
  <c r="AP21" i="118"/>
  <c r="E22" i="118"/>
  <c r="AR29" i="120" l="1"/>
  <c r="AI30" i="120"/>
  <c r="F30" i="120"/>
  <c r="AN30" i="120" s="1"/>
  <c r="D28" i="120"/>
  <c r="E28" i="120"/>
  <c r="C29" i="120"/>
  <c r="AO29" i="120"/>
  <c r="AQ30" i="120"/>
  <c r="AP36" i="120"/>
  <c r="AV21" i="118"/>
  <c r="F22" i="118"/>
  <c r="H30" i="120"/>
  <c r="AJ30" i="120"/>
  <c r="F31" i="120" l="1"/>
  <c r="AN31" i="120" s="1"/>
  <c r="AI31" i="120"/>
  <c r="AR30" i="120"/>
  <c r="D29" i="120"/>
  <c r="E29" i="120"/>
  <c r="H31" i="120"/>
  <c r="AJ31" i="120"/>
  <c r="AQ31" i="120"/>
  <c r="AO30" i="120"/>
  <c r="C30" i="120"/>
  <c r="AP37" i="120"/>
  <c r="F32" i="120" l="1"/>
  <c r="AN32" i="120" s="1"/>
  <c r="AI32" i="120"/>
  <c r="AR31" i="120"/>
  <c r="D30" i="120"/>
  <c r="E30" i="120"/>
  <c r="H32" i="120"/>
  <c r="AJ32" i="120"/>
  <c r="AP38" i="120"/>
  <c r="AO31" i="120"/>
  <c r="C31" i="120"/>
  <c r="AQ32" i="120"/>
  <c r="F33" i="120" l="1"/>
  <c r="AN33" i="120" s="1"/>
  <c r="AI33" i="120"/>
  <c r="AR32" i="120"/>
  <c r="AP39" i="120"/>
  <c r="C32" i="120"/>
  <c r="AO32" i="120"/>
  <c r="AQ33" i="120"/>
  <c r="D31" i="120"/>
  <c r="E31" i="120"/>
  <c r="AJ33" i="120"/>
  <c r="H33" i="120"/>
  <c r="AI34" i="120" l="1"/>
  <c r="F34" i="120"/>
  <c r="AN34" i="120" s="1"/>
  <c r="AR33" i="120"/>
  <c r="AO33" i="120"/>
  <c r="C33" i="120"/>
  <c r="D32" i="120"/>
  <c r="E32" i="120"/>
  <c r="AJ34" i="120"/>
  <c r="H34" i="120"/>
  <c r="AQ34" i="120"/>
  <c r="AP40" i="120"/>
  <c r="AI35" i="120" l="1"/>
  <c r="F35" i="120"/>
  <c r="AN35" i="120" s="1"/>
  <c r="AR34" i="120"/>
  <c r="AO34" i="120"/>
  <c r="C34" i="120"/>
  <c r="AJ35" i="120"/>
  <c r="H35" i="120"/>
  <c r="AQ35" i="120"/>
  <c r="AP41" i="120"/>
  <c r="D33" i="120"/>
  <c r="E33" i="120"/>
  <c r="AI36" i="120" l="1"/>
  <c r="F36" i="120"/>
  <c r="AN36" i="120" s="1"/>
  <c r="AR35" i="120"/>
  <c r="AP42" i="120"/>
  <c r="AQ36" i="120"/>
  <c r="H36" i="120"/>
  <c r="AJ36" i="120"/>
  <c r="D34" i="120"/>
  <c r="E34" i="120"/>
  <c r="C35" i="120"/>
  <c r="AO35" i="120"/>
  <c r="F37" i="120" l="1"/>
  <c r="AN37" i="120" s="1"/>
  <c r="AI37" i="120"/>
  <c r="AR36" i="120"/>
  <c r="AO36" i="120"/>
  <c r="C36" i="120"/>
  <c r="AQ37" i="120"/>
  <c r="AP43" i="120"/>
  <c r="D35" i="120"/>
  <c r="E35" i="120"/>
  <c r="AJ37" i="120"/>
  <c r="H37" i="120"/>
  <c r="AR37" i="120" l="1"/>
  <c r="F38" i="120"/>
  <c r="AI38" i="120"/>
  <c r="AJ38" i="120"/>
  <c r="H38" i="120"/>
  <c r="C37" i="120"/>
  <c r="AO37" i="120"/>
  <c r="AQ38" i="120"/>
  <c r="AP44" i="120"/>
  <c r="D36" i="120"/>
  <c r="E36" i="120"/>
  <c r="AR38" i="120" l="1"/>
  <c r="F39" i="120"/>
  <c r="AN39" i="120" s="1"/>
  <c r="AI39" i="120"/>
  <c r="AN38" i="120"/>
  <c r="H39" i="120"/>
  <c r="AJ39" i="120"/>
  <c r="D37" i="120"/>
  <c r="E37" i="120"/>
  <c r="AP45" i="120"/>
  <c r="AQ39" i="120"/>
  <c r="AO38" i="120"/>
  <c r="C38" i="120"/>
  <c r="AR39" i="120" l="1"/>
  <c r="F40" i="120"/>
  <c r="AN40" i="120" s="1"/>
  <c r="AI40" i="120"/>
  <c r="AQ40" i="120"/>
  <c r="H40" i="120"/>
  <c r="AJ40" i="120"/>
  <c r="D38" i="120"/>
  <c r="E38" i="120"/>
  <c r="AP46" i="120"/>
  <c r="J79" i="120"/>
  <c r="AO39" i="120"/>
  <c r="C39" i="120"/>
  <c r="AR40" i="120" l="1"/>
  <c r="AI41" i="120"/>
  <c r="F41" i="120"/>
  <c r="H41" i="120"/>
  <c r="AJ41" i="120"/>
  <c r="D39" i="120"/>
  <c r="E39" i="120"/>
  <c r="C40" i="120"/>
  <c r="AO40" i="120"/>
  <c r="AQ41" i="120"/>
  <c r="AN41" i="120" l="1"/>
  <c r="AR41" i="120"/>
  <c r="F42" i="120"/>
  <c r="AN42" i="120" s="1"/>
  <c r="AI42" i="120"/>
  <c r="D40" i="120"/>
  <c r="E40" i="120"/>
  <c r="C41" i="120"/>
  <c r="AO41" i="120"/>
  <c r="AQ42" i="120"/>
  <c r="H42" i="120"/>
  <c r="AJ42" i="120"/>
  <c r="F43" i="120" l="1"/>
  <c r="AN43" i="120" s="1"/>
  <c r="AI43" i="120"/>
  <c r="AR42" i="120"/>
  <c r="C42" i="120"/>
  <c r="AO42" i="120"/>
  <c r="AQ43" i="120"/>
  <c r="D41" i="120"/>
  <c r="E41" i="120"/>
  <c r="AJ43" i="120"/>
  <c r="H43" i="120"/>
  <c r="AI44" i="120" l="1"/>
  <c r="F44" i="120"/>
  <c r="AN44" i="120" s="1"/>
  <c r="AR43" i="120"/>
  <c r="AJ44" i="120"/>
  <c r="H44" i="120"/>
  <c r="C43" i="120"/>
  <c r="AO43" i="120"/>
  <c r="D42" i="120"/>
  <c r="E42" i="120"/>
  <c r="AQ44" i="120"/>
  <c r="F45" i="120" l="1"/>
  <c r="AN45" i="120" s="1"/>
  <c r="AI45" i="120"/>
  <c r="AR44" i="120"/>
  <c r="C44" i="120"/>
  <c r="AO44" i="120"/>
  <c r="AQ45" i="120"/>
  <c r="AJ45" i="120"/>
  <c r="H45" i="120"/>
  <c r="I79" i="120"/>
  <c r="D43" i="120"/>
  <c r="E43" i="120"/>
  <c r="F46" i="120" l="1"/>
  <c r="AI46" i="120"/>
  <c r="G79" i="120"/>
  <c r="AR46" i="120"/>
  <c r="AR45" i="120"/>
  <c r="H46" i="120"/>
  <c r="H79" i="120" s="1"/>
  <c r="AJ46" i="120"/>
  <c r="AO45" i="120"/>
  <c r="C45" i="120"/>
  <c r="AQ46" i="120"/>
  <c r="K79" i="120"/>
  <c r="D44" i="120"/>
  <c r="E44" i="120"/>
  <c r="AN46" i="120" l="1"/>
  <c r="F79" i="120"/>
  <c r="C46" i="120"/>
  <c r="AO46" i="120"/>
  <c r="D45" i="120"/>
  <c r="E45" i="120"/>
  <c r="C79" i="120"/>
  <c r="D46" i="120" l="1"/>
  <c r="E46" i="1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Ayman Elzahaby</author>
  </authors>
  <commentList>
    <comment ref="H10" authorId="0" shapeId="0" xr:uid="{00000000-0006-0000-0100-000001000000}">
      <text>
        <r>
          <rPr>
            <sz val="9"/>
            <color indexed="81"/>
            <rFont val="Tahoma"/>
            <family val="2"/>
          </rPr>
          <t xml:space="preserve">If the company has more than one supplier, the user can unprotect the sheet and add rows corresponding to number of supliers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liam p</author>
  </authors>
  <commentList>
    <comment ref="E3" authorId="0" shapeId="0" xr:uid="{00000000-0006-0000-0200-000001000000}">
      <text>
        <r>
          <rPr>
            <b/>
            <sz val="8"/>
            <color indexed="81"/>
            <rFont val="Tahoma"/>
            <family val="2"/>
          </rPr>
          <t>Select from drop-down list.
This cannot be changed during the year!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liam p</author>
  </authors>
  <commentList>
    <comment ref="D3" authorId="0" shapeId="0" xr:uid="{00000000-0006-0000-0500-000001000000}">
      <text>
        <r>
          <rPr>
            <b/>
            <sz val="8"/>
            <color indexed="81"/>
            <rFont val="Tahoma"/>
            <family val="2"/>
          </rPr>
          <t>Select from drop-down list.
This cannot be changed during the year!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Carsten Tonn-Petersen</author>
    <author>Ayman Elzahaby</author>
  </authors>
  <commentList>
    <comment ref="L5" authorId="0" shapeId="0" xr:uid="{00000000-0006-0000-0800-000001000000}">
      <text>
        <r>
          <rPr>
            <b/>
            <sz val="8"/>
            <color indexed="81"/>
            <rFont val="Tahoma"/>
            <family val="2"/>
          </rPr>
          <t xml:space="preserve">The type of energy used by this specific user - NOT the original energy source! </t>
        </r>
      </text>
    </comment>
    <comment ref="P5" authorId="0" shapeId="0" xr:uid="{00000000-0006-0000-0800-000002000000}">
      <text>
        <r>
          <rPr>
            <b/>
            <sz val="8"/>
            <color indexed="81"/>
            <rFont val="Tahoma"/>
            <family val="2"/>
          </rPr>
          <t>The mode of operation within the registered operational hours.</t>
        </r>
      </text>
    </comment>
    <comment ref="S5" authorId="0" shapeId="0" xr:uid="{00000000-0006-0000-0800-000003000000}">
      <text>
        <r>
          <rPr>
            <b/>
            <sz val="8"/>
            <color indexed="81"/>
            <rFont val="Tahoma"/>
            <family val="2"/>
          </rPr>
          <t>Percentage of the max power consumption actually used.</t>
        </r>
      </text>
    </comment>
    <comment ref="V5" authorId="0" shapeId="0" xr:uid="{00000000-0006-0000-0800-000004000000}">
      <text>
        <r>
          <rPr>
            <b/>
            <sz val="8"/>
            <color indexed="81"/>
            <rFont val="Tahoma"/>
            <family val="2"/>
          </rPr>
          <t>Percentage of the registered operational hours where the energy consuming equipment is ON.
This is typically applied with ON/OFF operational mode.</t>
        </r>
      </text>
    </comment>
    <comment ref="P91" authorId="1" shapeId="0" xr:uid="{00000000-0006-0000-0800-000005000000}">
      <text>
        <r>
          <rPr>
            <sz val="9"/>
            <color indexed="81"/>
            <rFont val="Tahoma"/>
            <family val="2"/>
          </rPr>
          <t>Equipment running with variable speed drives (frequency inverters)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Carsten Tonn-Petersen</author>
  </authors>
  <commentList>
    <comment ref="F3" authorId="0" shapeId="0" xr:uid="{00000000-0006-0000-0A00-000001000000}">
      <text>
        <r>
          <rPr>
            <b/>
            <sz val="8"/>
            <color indexed="81"/>
            <rFont val="Tahoma"/>
            <family val="2"/>
          </rPr>
          <t>Energy unit for the results. Conversion factors for the meters will convert to this unit</t>
        </r>
      </text>
    </comment>
    <comment ref="F7" authorId="0" shapeId="0" xr:uid="{00000000-0006-0000-0A00-000002000000}">
      <text>
        <r>
          <rPr>
            <b/>
            <sz val="8"/>
            <color indexed="81"/>
            <rFont val="Tahoma"/>
            <family val="2"/>
          </rPr>
          <t>Name of the measured parameter</t>
        </r>
      </text>
    </comment>
    <comment ref="H7" authorId="0" shapeId="0" xr:uid="{00000000-0006-0000-0A00-000003000000}">
      <text>
        <r>
          <rPr>
            <b/>
            <sz val="8"/>
            <color indexed="81"/>
            <rFont val="Tahoma"/>
            <family val="2"/>
          </rPr>
          <t>Name of the measured parameter</t>
        </r>
      </text>
    </comment>
    <comment ref="F8" authorId="0" shapeId="0" xr:uid="{00000000-0006-0000-0A00-000004000000}">
      <text>
        <r>
          <rPr>
            <b/>
            <sz val="8"/>
            <color indexed="81"/>
            <rFont val="Tahoma"/>
            <family val="2"/>
          </rPr>
          <t>Multiplication factor from measured unit to kWh.</t>
        </r>
      </text>
    </comment>
    <comment ref="G8" authorId="0" shapeId="0" xr:uid="{00000000-0006-0000-0A00-000005000000}">
      <text>
        <r>
          <rPr>
            <b/>
            <sz val="8"/>
            <color indexed="81"/>
            <rFont val="Tahoma"/>
            <family val="2"/>
          </rPr>
          <t>Name of the energy meter.</t>
        </r>
      </text>
    </comment>
    <comment ref="H8" authorId="0" shapeId="0" xr:uid="{00000000-0006-0000-0A00-000006000000}">
      <text>
        <r>
          <rPr>
            <b/>
            <sz val="8"/>
            <color indexed="81"/>
            <rFont val="Tahoma"/>
            <family val="2"/>
          </rPr>
          <t>Multiplication factor from measured unit to kWh.</t>
        </r>
      </text>
    </comment>
    <comment ref="I8" authorId="0" shapeId="0" xr:uid="{00000000-0006-0000-0A00-000007000000}">
      <text>
        <r>
          <rPr>
            <b/>
            <sz val="8"/>
            <color indexed="81"/>
            <rFont val="Tahoma"/>
            <family val="2"/>
          </rPr>
          <t>Name of the energy meter.</t>
        </r>
      </text>
    </comment>
    <comment ref="G9" authorId="0" shapeId="0" xr:uid="{00000000-0006-0000-0A00-000008000000}">
      <text>
        <r>
          <rPr>
            <b/>
            <sz val="8"/>
            <color indexed="81"/>
            <rFont val="Tahoma"/>
            <family val="2"/>
          </rPr>
          <t>Unit for the measured energy (the meter unit).</t>
        </r>
      </text>
    </comment>
    <comment ref="I9" authorId="0" shapeId="0" xr:uid="{00000000-0006-0000-0A00-000009000000}">
      <text>
        <r>
          <rPr>
            <b/>
            <sz val="8"/>
            <color indexed="81"/>
            <rFont val="Tahoma"/>
            <family val="2"/>
          </rPr>
          <t>Unit for the measured energy (the meter unit).</t>
        </r>
      </text>
    </comment>
    <comment ref="J9" authorId="0" shapeId="0" xr:uid="{00000000-0006-0000-0A00-00000A000000}">
      <text>
        <r>
          <rPr>
            <b/>
            <sz val="8"/>
            <color indexed="81"/>
            <rFont val="Tahoma"/>
            <family val="2"/>
          </rPr>
          <t>Write the unit that the production is measured in</t>
        </r>
      </text>
    </comment>
    <comment ref="B10" authorId="0" shapeId="0" xr:uid="{00000000-0006-0000-0A00-00000B000000}">
      <text>
        <r>
          <rPr>
            <b/>
            <sz val="8"/>
            <color indexed="81"/>
            <rFont val="Tahoma"/>
            <family val="2"/>
          </rPr>
          <t>The first interval starts here</t>
        </r>
      </text>
    </comment>
  </commentList>
</comments>
</file>

<file path=xl/sharedStrings.xml><?xml version="1.0" encoding="utf-8"?>
<sst xmlns="http://schemas.openxmlformats.org/spreadsheetml/2006/main" count="1394" uniqueCount="706">
  <si>
    <t>Jan</t>
  </si>
  <si>
    <t>Feb</t>
  </si>
  <si>
    <t>Mar</t>
  </si>
  <si>
    <t>Apr</t>
  </si>
  <si>
    <t>May</t>
  </si>
  <si>
    <t>Jun</t>
  </si>
  <si>
    <t>Jul</t>
  </si>
  <si>
    <t>Aug</t>
  </si>
  <si>
    <t>Sep</t>
  </si>
  <si>
    <t>Oct</t>
  </si>
  <si>
    <t>Nov</t>
  </si>
  <si>
    <t>Dec</t>
  </si>
  <si>
    <t>Day Units</t>
  </si>
  <si>
    <t>[kWh]</t>
  </si>
  <si>
    <t>Night Units</t>
  </si>
  <si>
    <t>Cost / Unit</t>
  </si>
  <si>
    <t>Total Cost</t>
  </si>
  <si>
    <t>% Units</t>
  </si>
  <si>
    <t>% Cost</t>
  </si>
  <si>
    <t>[%]</t>
  </si>
  <si>
    <t>Standing Charge</t>
  </si>
  <si>
    <t>[kVA]</t>
  </si>
  <si>
    <t>[kW]</t>
  </si>
  <si>
    <t>Total</t>
  </si>
  <si>
    <t>Excess Capacity</t>
  </si>
  <si>
    <t>Excess Capacity Charge</t>
  </si>
  <si>
    <t>Total Other Charges</t>
  </si>
  <si>
    <t>Wattless Charge</t>
  </si>
  <si>
    <t>PSO Levy Charge</t>
  </si>
  <si>
    <t>Maximum Import Capacity</t>
  </si>
  <si>
    <t>Other Charges</t>
  </si>
  <si>
    <t>Average Unit Cost</t>
  </si>
  <si>
    <t>Total Unit Cost</t>
  </si>
  <si>
    <t>-</t>
  </si>
  <si>
    <t>Average Unit Cost:</t>
  </si>
  <si>
    <t>Account No.:</t>
  </si>
  <si>
    <t>Year:</t>
  </si>
  <si>
    <t>Day Consumption</t>
  </si>
  <si>
    <t>Night Consumption</t>
  </si>
  <si>
    <t>Gas Units</t>
  </si>
  <si>
    <t>Units</t>
  </si>
  <si>
    <t>Gas Consumption</t>
  </si>
  <si>
    <t>[l]</t>
  </si>
  <si>
    <t>Quantity</t>
  </si>
  <si>
    <t>LPG Delivery #1</t>
  </si>
  <si>
    <t>LPG Delivery #2</t>
  </si>
  <si>
    <t>LPG Delivery #3</t>
  </si>
  <si>
    <t>LPG Delivery #4</t>
  </si>
  <si>
    <t>LPG Delivery #5</t>
  </si>
  <si>
    <t>Cost</t>
  </si>
  <si>
    <t>Delivery 1</t>
  </si>
  <si>
    <t>Delivery 2</t>
  </si>
  <si>
    <t>Delivery 3</t>
  </si>
  <si>
    <t>Delivery 4</t>
  </si>
  <si>
    <t>Delivery 5</t>
  </si>
  <si>
    <t>Total Deliveries</t>
  </si>
  <si>
    <t>Oil Type:</t>
  </si>
  <si>
    <t>Oil Delivery #1</t>
  </si>
  <si>
    <t>Oil Delivery #2</t>
  </si>
  <si>
    <t>Oil Delivery #3</t>
  </si>
  <si>
    <t>Oil Delivery #4</t>
  </si>
  <si>
    <t>Oil Delivery #5</t>
  </si>
  <si>
    <t>Kerosene</t>
  </si>
  <si>
    <t>Fuel Oil</t>
  </si>
  <si>
    <t>Heating &amp; Other Gasoil</t>
  </si>
  <si>
    <t>Electricity</t>
  </si>
  <si>
    <t>Natural Gas</t>
  </si>
  <si>
    <t>LPG</t>
  </si>
  <si>
    <t>Oil</t>
  </si>
  <si>
    <t>Fuel</t>
  </si>
  <si>
    <t>[kWh/l]</t>
  </si>
  <si>
    <t>GHG Emissions</t>
  </si>
  <si>
    <t>[tCO2]</t>
  </si>
  <si>
    <t>Yes</t>
  </si>
  <si>
    <t>No</t>
  </si>
  <si>
    <t>Green</t>
  </si>
  <si>
    <t>Emission Factor</t>
  </si>
  <si>
    <t>tCO2/kWh</t>
  </si>
  <si>
    <t>Licensed Green Supplier</t>
  </si>
  <si>
    <t>NCV</t>
  </si>
  <si>
    <t>GHG Emission Factor:</t>
  </si>
  <si>
    <t>Consumption</t>
  </si>
  <si>
    <t>Total Fuel (non-Electricity)</t>
  </si>
  <si>
    <t>Total Energy</t>
  </si>
  <si>
    <t>Total Site (non-Electricity)</t>
  </si>
  <si>
    <t>Greenhouse Gas (GHG) Emissions</t>
  </si>
  <si>
    <t>Supplier:</t>
  </si>
  <si>
    <t>Renewable:</t>
  </si>
  <si>
    <t>Electricity Summary</t>
  </si>
  <si>
    <t>LPG Summary</t>
  </si>
  <si>
    <t>Natural Gas Summary</t>
  </si>
  <si>
    <t>Oil Summary</t>
  </si>
  <si>
    <t>Activity</t>
  </si>
  <si>
    <t>Electricity:</t>
  </si>
  <si>
    <t>Natural Gas:</t>
  </si>
  <si>
    <t>LPG:</t>
  </si>
  <si>
    <t>Oil:</t>
  </si>
  <si>
    <t>Energy Cost</t>
  </si>
  <si>
    <t>Energy Consumption</t>
  </si>
  <si>
    <t>Combined:</t>
  </si>
  <si>
    <t>Combined</t>
  </si>
  <si>
    <t>All Thermal</t>
  </si>
  <si>
    <t>Appropriate MIC (kVA)</t>
  </si>
  <si>
    <t>Actual MD (kW)</t>
  </si>
  <si>
    <t>Contracted MIC (kVA)</t>
  </si>
  <si>
    <t>Target</t>
  </si>
  <si>
    <t>Actual</t>
  </si>
  <si>
    <t>Actual (Cumulative)</t>
  </si>
  <si>
    <t>Target (Cumulative)</t>
  </si>
  <si>
    <t>Weekend Units</t>
  </si>
  <si>
    <t>Day Units (Week)</t>
  </si>
  <si>
    <t>Night Units (Week)</t>
  </si>
  <si>
    <t>All Standing Charge(s)</t>
  </si>
  <si>
    <t>Import or Service Capacity Charge</t>
  </si>
  <si>
    <t>Write energy defining values below</t>
  </si>
  <si>
    <t>Results</t>
  </si>
  <si>
    <t>Registration Date</t>
  </si>
  <si>
    <t>Building</t>
  </si>
  <si>
    <t>MWh/ year</t>
  </si>
  <si>
    <t>Function/ Department</t>
  </si>
  <si>
    <t>Technology</t>
  </si>
  <si>
    <t>-not a process-</t>
  </si>
  <si>
    <t>Lighting</t>
  </si>
  <si>
    <t>Continously</t>
  </si>
  <si>
    <t>Electronics</t>
  </si>
  <si>
    <t>Heating</t>
  </si>
  <si>
    <t>On-off</t>
  </si>
  <si>
    <t>Motors</t>
  </si>
  <si>
    <t>Mixed</t>
  </si>
  <si>
    <t>VSD</t>
  </si>
  <si>
    <t>Valve/damper</t>
  </si>
  <si>
    <t>Steam</t>
  </si>
  <si>
    <t>Gas</t>
  </si>
  <si>
    <t>Cooling</t>
  </si>
  <si>
    <t>Total Tariffed Cost</t>
  </si>
  <si>
    <t>Electricity - Average Generation Mix</t>
  </si>
  <si>
    <t>Yellow cells are user input data</t>
  </si>
  <si>
    <t>Light blue cells are results</t>
  </si>
  <si>
    <t>Cells with grey colour and white text are hidden</t>
  </si>
  <si>
    <t>Currency:</t>
  </si>
  <si>
    <t>Company:</t>
  </si>
  <si>
    <t>Address:</t>
  </si>
  <si>
    <t>kWh/l</t>
  </si>
  <si>
    <t>Click here to jump to:</t>
  </si>
  <si>
    <t>Electricity consumption values</t>
  </si>
  <si>
    <t>Natural Gas consumption values</t>
  </si>
  <si>
    <t>LPG consumption values</t>
  </si>
  <si>
    <t>Oil consumption values</t>
  </si>
  <si>
    <t>Delivery #1</t>
  </si>
  <si>
    <t>Delivery #2</t>
  </si>
  <si>
    <t>Delivery #3</t>
  </si>
  <si>
    <t>Delivery #4</t>
  </si>
  <si>
    <t>Delivery #5</t>
  </si>
  <si>
    <t>Production values for KPI</t>
  </si>
  <si>
    <t>Mapping</t>
  </si>
  <si>
    <t>Results and Diagrams</t>
  </si>
  <si>
    <t>Annual data</t>
  </si>
  <si>
    <t>KPI</t>
  </si>
  <si>
    <t>Sum</t>
  </si>
  <si>
    <t>Pie charts</t>
  </si>
  <si>
    <t>Annual</t>
  </si>
  <si>
    <t>Annual Data</t>
  </si>
  <si>
    <t>Year Now:</t>
  </si>
  <si>
    <t>Total Fuel</t>
  </si>
  <si>
    <t>KPI Combined</t>
  </si>
  <si>
    <t>Total Energy Cost</t>
  </si>
  <si>
    <t>Total CO2</t>
  </si>
  <si>
    <t xml:space="preserve"> </t>
  </si>
  <si>
    <t>Details</t>
  </si>
  <si>
    <t>Compr. Air</t>
  </si>
  <si>
    <t>Click here to jump back to start page</t>
  </si>
  <si>
    <t>Click here to jump to diagrams</t>
  </si>
  <si>
    <t>Click here to jump to calculations sheet</t>
  </si>
  <si>
    <t>Energy Consumption KPI</t>
  </si>
  <si>
    <t>Energy Cost KPI</t>
  </si>
  <si>
    <t>Click here to jump to pie diagrams</t>
  </si>
  <si>
    <t>Maximum Demand</t>
  </si>
  <si>
    <t>Maximum Demand Charge</t>
  </si>
  <si>
    <t>Other charges from the energy bills</t>
  </si>
  <si>
    <t>Name of the measured quantity that will be compared to the energy type:</t>
  </si>
  <si>
    <t>Max limits and their charges from the energy bills</t>
  </si>
  <si>
    <t>kWh/year sum</t>
  </si>
  <si>
    <t>Energy Sub Meters</t>
  </si>
  <si>
    <t>Other Measured Quantities</t>
  </si>
  <si>
    <t>Products</t>
  </si>
  <si>
    <t>Outdoor</t>
  </si>
  <si>
    <t>Produced</t>
  </si>
  <si>
    <t>Temperature</t>
  </si>
  <si>
    <t>Rejects</t>
  </si>
  <si>
    <t>Total Power</t>
  </si>
  <si>
    <t>[°C]</t>
  </si>
  <si>
    <t>Registration Sheets</t>
  </si>
  <si>
    <t>Energy Mapping and Management System</t>
  </si>
  <si>
    <t>Values/Texts for Dropdown Boxes</t>
  </si>
  <si>
    <t>Light green cells are global input data - can be changed by user</t>
  </si>
  <si>
    <r>
      <t>GHG Emission Factor [tCO</t>
    </r>
    <r>
      <rPr>
        <b/>
        <vertAlign val="subscript"/>
        <sz val="8"/>
        <color indexed="8"/>
        <rFont val="Arial"/>
        <family val="2"/>
      </rPr>
      <t>2</t>
    </r>
    <r>
      <rPr>
        <b/>
        <sz val="8"/>
        <color indexed="8"/>
        <rFont val="Arial"/>
        <family val="2"/>
      </rPr>
      <t>/kWh]</t>
    </r>
  </si>
  <si>
    <t>Cells with no colour are protected "read only"</t>
  </si>
  <si>
    <r>
      <t>tCO</t>
    </r>
    <r>
      <rPr>
        <vertAlign val="subscript"/>
        <sz val="8"/>
        <color indexed="8"/>
        <rFont val="Arial"/>
        <family val="2"/>
      </rPr>
      <t>2</t>
    </r>
    <r>
      <rPr>
        <sz val="8"/>
        <color indexed="8"/>
        <rFont val="Arial"/>
        <family val="2"/>
      </rPr>
      <t>/kWh</t>
    </r>
  </si>
  <si>
    <t>Supplier Data (only one for each energy type)</t>
  </si>
  <si>
    <t>Explaining the Colours</t>
  </si>
  <si>
    <t>Total Consump-tion</t>
  </si>
  <si>
    <t>Target Consump-tion</t>
  </si>
  <si>
    <t>No. of Units</t>
  </si>
  <si>
    <r>
      <t>[tCO</t>
    </r>
    <r>
      <rPr>
        <b/>
        <vertAlign val="subscript"/>
        <sz val="8"/>
        <color indexed="8"/>
        <rFont val="Arial"/>
        <family val="2"/>
      </rPr>
      <t>2</t>
    </r>
    <r>
      <rPr>
        <b/>
        <sz val="8"/>
        <color indexed="8"/>
        <rFont val="Arial"/>
        <family val="2"/>
      </rPr>
      <t>]</t>
    </r>
  </si>
  <si>
    <r>
      <t>[tCO</t>
    </r>
    <r>
      <rPr>
        <b/>
        <vertAlign val="subscript"/>
        <sz val="8"/>
        <color indexed="8"/>
        <rFont val="Arial"/>
        <family val="2"/>
      </rPr>
      <t>2</t>
    </r>
    <r>
      <rPr>
        <b/>
        <sz val="8"/>
        <color indexed="8"/>
        <rFont val="Arial"/>
        <family val="2"/>
      </rPr>
      <t>]</t>
    </r>
  </si>
  <si>
    <t>Target Con-sumption</t>
  </si>
  <si>
    <t>Total Con-sumption</t>
  </si>
  <si>
    <t>Energy Type:</t>
  </si>
  <si>
    <t>Unit of the Quantity:</t>
  </si>
  <si>
    <t>All Thermal:</t>
  </si>
  <si>
    <t>Use drop-down lists in all the yellow fields below, to define what the individual energy consumption refers to</t>
  </si>
  <si>
    <t>Process</t>
  </si>
  <si>
    <t>Energy Form</t>
  </si>
  <si>
    <t>Mode of Operation</t>
  </si>
  <si>
    <t>Max Power Consumption
[kW]</t>
  </si>
  <si>
    <t>Load Factor
[%]</t>
  </si>
  <si>
    <t>Number of Units</t>
  </si>
  <si>
    <t>Operational Hours
[h]</t>
  </si>
  <si>
    <t>Duty Cycle
[%]</t>
  </si>
  <si>
    <t>Energy Consumption
[kWh/year]</t>
  </si>
  <si>
    <t>Definitions of the drop-down lists. Light green fields can be changed by users.</t>
  </si>
  <si>
    <t>District Heating</t>
  </si>
  <si>
    <t>Energy Unit:</t>
  </si>
  <si>
    <t>Diagram 1 Title:</t>
  </si>
  <si>
    <t>Diagram 2 Title:</t>
  </si>
  <si>
    <t>Log Intervals
[dd-mm-yy hh:mm]</t>
  </si>
  <si>
    <t xml:space="preserve">Open the excel-file </t>
  </si>
  <si>
    <t>Select the sheet "Start"</t>
  </si>
  <si>
    <t>Currency</t>
  </si>
  <si>
    <t>Scroll down to the field "Explaining the Colours"</t>
  </si>
  <si>
    <t>Scroll down and type the GHG Emission Factors for any of the following energy sources that is used on the site</t>
  </si>
  <si>
    <t>Supplier name (Can be a utility)</t>
  </si>
  <si>
    <t>Year. The year that the energy management and mapping is valid for.</t>
  </si>
  <si>
    <t>Company. The name and site-name. NB: Use the leftmost field</t>
  </si>
  <si>
    <t>Address. Address of the site you are managing and mapping. NB: Use the leftmost field</t>
  </si>
  <si>
    <t>(for the three sorts of oil you also type the energy conversion factor)</t>
  </si>
  <si>
    <t>Tariff</t>
  </si>
  <si>
    <t>MPRN or GPRN</t>
  </si>
  <si>
    <t>Account number</t>
  </si>
  <si>
    <t>Register the monthly electrical energy consumption</t>
  </si>
  <si>
    <t>(You can divide the consumption into day, night and weekend units, or simply just use day-units)</t>
  </si>
  <si>
    <t>(NB: Only the charges are necessary for the calculations. The actual limits are only for information)</t>
  </si>
  <si>
    <t>Other charges from the energy bills: Wattless, PSO and All-standing charges.</t>
  </si>
  <si>
    <t>Max power limits and their charges from the energy bills: Max import- and Excess capacity, and Maximum demand.</t>
  </si>
  <si>
    <t>Target consumption (budget)</t>
  </si>
  <si>
    <t>4 fields</t>
  </si>
  <si>
    <t>If "Yes" is selected, the CO2 emission is set to zero in calculations</t>
  </si>
  <si>
    <t>Select the sheet "Electricity", e.g. by clicking the blue hyperlink on the "Start"-sheet</t>
  </si>
  <si>
    <t>For every month you fill in all the available data on the corresponding line. The data you get from your monthly energy bill. The data are from left to right:</t>
  </si>
  <si>
    <t>Register the monthly natural gas consumption</t>
  </si>
  <si>
    <t>Select the sheet "Natural Gas", e.g. by clicking the blue hyperlink on the "Start"-sheet</t>
  </si>
  <si>
    <t>For every month you fill in all the available data on the corresponding line. The data you get from your monthly bill. The data are from left to right:</t>
  </si>
  <si>
    <t>Consumed units (NB: Always in kWh), and the total cost of these units</t>
  </si>
  <si>
    <t>Consumed units (always kWh), and the average price (tariff) of these units, in this example €/kWh</t>
  </si>
  <si>
    <t>Starting the new year:</t>
  </si>
  <si>
    <t>Energy consumption registration:</t>
  </si>
  <si>
    <t>Register the monthly LPG gas consumption</t>
  </si>
  <si>
    <t>Select the sheet "LPG", e.g. by clicking the blue hyperlink on the "Start"-sheet</t>
  </si>
  <si>
    <t>For every month you fill in the data on the corresponding line. The data you get from your monthly bill. The data are from left to right:</t>
  </si>
  <si>
    <t>Target consumption (budget) of all deliveries</t>
  </si>
  <si>
    <t>Register the monthly oil consumption</t>
  </si>
  <si>
    <t>Select the sheet "Oil", e.g. by clicking the blue hyperlink on the "Start"-sheet</t>
  </si>
  <si>
    <t>Production registration for KPI-calculations:</t>
  </si>
  <si>
    <t>Select the sheet "KPI", e.g. by clicking the blue hyperlink on the "Start"-sheet</t>
  </si>
  <si>
    <t>In the top-left fields define names an units-of-quantity for the production that you will allocate to the different energy consumptions. The data are:</t>
  </si>
  <si>
    <t>(NB: Definitions cover the whole year)</t>
  </si>
  <si>
    <t>Name and unit of the production that uses electricity</t>
  </si>
  <si>
    <t>Name and unit of the production that uses natural gas</t>
  </si>
  <si>
    <t>Name and unit of the production that uses LPG</t>
  </si>
  <si>
    <t>Name and unit of the production that uses all thermal energy (non electricity)</t>
  </si>
  <si>
    <t>Name and unit of the production that uses all energy combined</t>
  </si>
  <si>
    <t>For every month you fill in all the available production (activity) data on the corresponding line. The data are from left to right:</t>
  </si>
  <si>
    <t>Number of produced units that uses electricity</t>
  </si>
  <si>
    <t>Number of produced units that uses natural gas</t>
  </si>
  <si>
    <t>Number of produced units that uses LPG</t>
  </si>
  <si>
    <t>Number of produced units that uses all thermal energy (non electricity)</t>
  </si>
  <si>
    <t>Number of produced units that uses all energy combined</t>
  </si>
  <si>
    <t>Mapping of Annual Energy Consumption</t>
  </si>
  <si>
    <t>Mapping of Annual Energy Consumption:</t>
  </si>
  <si>
    <t>Select the sheet "Mapping", e.g. by clicking the blue hyperlink on the "Start"-sheet</t>
  </si>
  <si>
    <t>Scroll down to the field with definitions of the drop-down lists. Light green fields can be changed by users.</t>
  </si>
  <si>
    <t>Scroll up to the top again</t>
  </si>
  <si>
    <t>For every energy consuming piece of equipment you fill in data in one line, from left to right:</t>
  </si>
  <si>
    <t>Next you register what every piece of equipment relates to, only by using dropdown-lists with predefined selection possibilities:</t>
  </si>
  <si>
    <t>Building where the equipment is using its energy, defined by you</t>
  </si>
  <si>
    <t>Function/ Department where the equipment is using its energy, defined by you</t>
  </si>
  <si>
    <t>Process where the equipment is using its energy, defined by you</t>
  </si>
  <si>
    <t>Technology, predefined: Lighting, motors, etc.</t>
  </si>
  <si>
    <t>You finish each line by filling in the annual average power and time data:</t>
  </si>
  <si>
    <t>Duty Cycle [%], how many percent of the hours is the equipment actually consuming the power</t>
  </si>
  <si>
    <t>Max Power Consumption [kW], also called installed power of the equipment</t>
  </si>
  <si>
    <t>Load Factor [%], how many percent of the installed power is actually used when the equipment is operating</t>
  </si>
  <si>
    <t>Number of Units, how many pieces of identical equipment is registered on this line (typically used with lighting)</t>
  </si>
  <si>
    <t>Annual consumption is calculated automatically in the last column</t>
  </si>
  <si>
    <t>Various charts showing the energy-mapping can be seen on the chart-sheet "(Mapping)"</t>
  </si>
  <si>
    <t>Saving annual key data for later comparison:</t>
  </si>
  <si>
    <t>Select the sheet "Annual", e.g. by clicking the blue hyperlink on the "Start"-sheet</t>
  </si>
  <si>
    <t>The data for the years before can be compare by viewing the chart-sheet "(Annual)"</t>
  </si>
  <si>
    <t>How to study details</t>
  </si>
  <si>
    <t>Select the sheet "Details", e.g. by clicking the blue hyperlink on the "Start"-sheet</t>
  </si>
  <si>
    <t>First define the energy-unit in the field at the top</t>
  </si>
  <si>
    <t>NB: Always paste values without formats or formulas</t>
  </si>
  <si>
    <t>This sheet is used when a certain equipment or process must be studied closer.</t>
  </si>
  <si>
    <t>(Always read the comments in the cells, if present)</t>
  </si>
  <si>
    <t>Equipment or proces to study</t>
  </si>
  <si>
    <t>Write the unit of quantity of production</t>
  </si>
  <si>
    <t>First define the system and its meters:</t>
  </si>
  <si>
    <t>The time when values were logged</t>
  </si>
  <si>
    <t>The measured energy consumption for each meter, in the interval since last logging</t>
  </si>
  <si>
    <t>Write how much was produced in this interval</t>
  </si>
  <si>
    <t>Write how much was rejected in this interval</t>
  </si>
  <si>
    <t>Details from the logging can be studied on the chart-sheet "(Details)"</t>
  </si>
  <si>
    <t>Write the average outdoor temperature during this interval</t>
  </si>
  <si>
    <t>Description
(free text)</t>
  </si>
  <si>
    <t>Diagram 3 Title:</t>
  </si>
  <si>
    <t>Diagram 4 Title:</t>
  </si>
  <si>
    <t>Read and learn how colours are used in the various data fields throughout the system</t>
  </si>
  <si>
    <t>In the left hand field at the top you select if the supplier is renewable (selection covers the whole year)</t>
  </si>
  <si>
    <t>Standing Charge (independent of consumption)</t>
  </si>
  <si>
    <t>(You can register up to five deliveries per month)</t>
  </si>
  <si>
    <t>Consumed units (NB: Always in litres), and the total cost of these units</t>
  </si>
  <si>
    <t>(Total delivered energy is calculated by the program: kWh = sum-of-litre * 6,96)</t>
  </si>
  <si>
    <t>In the left hand field at the top you select the type of oil you are using (selection covers the whole year)</t>
  </si>
  <si>
    <t>(Total delivered energy is calculated by the program: kWh = sum-of-litre * conversion factor)</t>
  </si>
  <si>
    <t>Operational Hours [h], how many hours per year is the equipment turned on</t>
  </si>
  <si>
    <t>Write the name of the process to study</t>
  </si>
  <si>
    <t>Write the names of one or two pieces of equipment within the process</t>
  </si>
  <si>
    <t>Scroll up and type the following information on top of the sheet</t>
  </si>
  <si>
    <t>Now all data is filled in on the "Start" sheet you can jump to any other sheet by using the blue hyperlinks on the right hand side of the sheet</t>
  </si>
  <si>
    <t>(The energy conversion factor from litre to kWh is automatically fetched from the "Start" sheet)</t>
  </si>
  <si>
    <t>Now all your energy consumption per month is registered, and you can see all the totals on the sheet "Sum"</t>
  </si>
  <si>
    <t>Mode of Operation, predefined: Continuously, on-off, etc.</t>
  </si>
  <si>
    <t>$</t>
  </si>
  <si>
    <t>Stores</t>
  </si>
  <si>
    <t>Process 1</t>
  </si>
  <si>
    <t>Process 2</t>
  </si>
  <si>
    <t>Process 3</t>
  </si>
  <si>
    <t>Admin</t>
  </si>
  <si>
    <t>WTP</t>
  </si>
  <si>
    <t>Utilities</t>
  </si>
  <si>
    <t>Guard house</t>
  </si>
  <si>
    <t>Visitors centre</t>
  </si>
  <si>
    <t>Waste dump</t>
  </si>
  <si>
    <t>Gardens</t>
  </si>
  <si>
    <t>Warehouse 1</t>
  </si>
  <si>
    <t>Warehouse 2</t>
  </si>
  <si>
    <t>tons</t>
  </si>
  <si>
    <t>process 1</t>
  </si>
  <si>
    <t>meter 1</t>
  </si>
  <si>
    <t>meter 2</t>
  </si>
  <si>
    <t xml:space="preserve">Also type the following supplier data for each of the above energy sources. </t>
  </si>
  <si>
    <t>(Data entered in this section are for the record of the company, not to be used in the calculations)</t>
  </si>
  <si>
    <t xml:space="preserve">BASIC GHG CALCULATOR </t>
  </si>
  <si>
    <t>Electricity use (1)</t>
  </si>
  <si>
    <t>Conversion</t>
  </si>
  <si>
    <t xml:space="preserve">Conversion </t>
  </si>
  <si>
    <t xml:space="preserve">tons CO2/kWh </t>
  </si>
  <si>
    <t>tons CO2/MJ</t>
  </si>
  <si>
    <t>Use in kWh</t>
  </si>
  <si>
    <t>Use in MJ</t>
  </si>
  <si>
    <t>Quantity CO2 in tons (kWh)</t>
  </si>
  <si>
    <t>Quantity CO2 in tons (MJ)</t>
  </si>
  <si>
    <t xml:space="preserve">Total imported energy </t>
  </si>
  <si>
    <t xml:space="preserve">(1) Enter country specific or regional data from the sheet "CO2 from electricity" or enter specific value in CO2/kWh </t>
  </si>
  <si>
    <t>District heating/cooling (2)</t>
  </si>
  <si>
    <t xml:space="preserve">Type </t>
  </si>
  <si>
    <t>Unit</t>
  </si>
  <si>
    <t xml:space="preserve">Use </t>
  </si>
  <si>
    <t>Quantity CO2 in tons</t>
  </si>
  <si>
    <t>tons CO2/unit</t>
  </si>
  <si>
    <t xml:space="preserve">(a) </t>
  </si>
  <si>
    <t xml:space="preserve">(b) </t>
  </si>
  <si>
    <t>Total imported district heating/cooling</t>
  </si>
  <si>
    <t>(2) Enter type of energy service, unit, conversion factor and total use</t>
  </si>
  <si>
    <t>Steam (3)</t>
  </si>
  <si>
    <t>Use</t>
  </si>
  <si>
    <t xml:space="preserve">Quantity CO2 in tons </t>
  </si>
  <si>
    <t xml:space="preserve">Total imported steam </t>
  </si>
  <si>
    <t>(3) Enter unit, conversion factor and total use</t>
  </si>
  <si>
    <t>Fuel Combustion (4)</t>
  </si>
  <si>
    <t>tons CO2/TJ</t>
  </si>
  <si>
    <t xml:space="preserve">Use in MJ </t>
  </si>
  <si>
    <t>Quantity CO2 (kWh)</t>
  </si>
  <si>
    <t>Quantity CO2 (MJ)</t>
  </si>
  <si>
    <t>Petroleum products</t>
  </si>
  <si>
    <t xml:space="preserve">Ethane </t>
  </si>
  <si>
    <t xml:space="preserve">Lpg </t>
  </si>
  <si>
    <t xml:space="preserve">Motor gasoline </t>
  </si>
  <si>
    <t>Naphtha</t>
  </si>
  <si>
    <t xml:space="preserve">Gas/diesel fuel </t>
  </si>
  <si>
    <t xml:space="preserve">Heavy fuel oil/residual fuel oil </t>
  </si>
  <si>
    <t xml:space="preserve">Kerosene </t>
  </si>
  <si>
    <t xml:space="preserve">Petroleum coke </t>
  </si>
  <si>
    <t xml:space="preserve">Other </t>
  </si>
  <si>
    <t>Coal and coal products</t>
  </si>
  <si>
    <t xml:space="preserve">Coking coal </t>
  </si>
  <si>
    <t>Other bituminous coal</t>
  </si>
  <si>
    <t xml:space="preserve">Anthracite </t>
  </si>
  <si>
    <t xml:space="preserve">Sub-bituminous coal </t>
  </si>
  <si>
    <t xml:space="preserve">Lignite / brown coal </t>
  </si>
  <si>
    <t xml:space="preserve">Peat </t>
  </si>
  <si>
    <t xml:space="preserve">Patent fuel </t>
  </si>
  <si>
    <t xml:space="preserve">Coke oven coke </t>
  </si>
  <si>
    <t xml:space="preserve">Gas coke </t>
  </si>
  <si>
    <t xml:space="preserve">Bkb/peat briquettes </t>
  </si>
  <si>
    <t>Natural gas (dry)</t>
  </si>
  <si>
    <t>Coke oven gas</t>
  </si>
  <si>
    <t>Blast furnace gas</t>
  </si>
  <si>
    <t xml:space="preserve">Total CO2 from Combustion </t>
  </si>
  <si>
    <t>(2) Data from UNCTAD (2004). Manual for the preparers and users of eco-efficiency indicators. Enter total use and if other sources are used then conversion factors for these</t>
  </si>
  <si>
    <t>Process related CO2 (5)</t>
  </si>
  <si>
    <t>Total CO2 eq. in tons (6)</t>
  </si>
  <si>
    <t>GHGs</t>
  </si>
  <si>
    <t xml:space="preserve">Quantity in tons </t>
  </si>
  <si>
    <t>Quantity CO2 eq. in tons</t>
  </si>
  <si>
    <t>Input data in kWh</t>
  </si>
  <si>
    <t xml:space="preserve">Input data in MJ </t>
  </si>
  <si>
    <t>Carbon dioxide CO2</t>
  </si>
  <si>
    <t>Methane CH4</t>
  </si>
  <si>
    <t>Nitrous oxide N2O</t>
  </si>
  <si>
    <t>(4) CO2 eq. from electricity use, combustion, processes</t>
  </si>
  <si>
    <t>Sulfur Hexaflouride SF6</t>
  </si>
  <si>
    <t>district heating/cooling and steam</t>
  </si>
  <si>
    <t xml:space="preserve">HFC - 125 </t>
  </si>
  <si>
    <t>HFC - 134</t>
  </si>
  <si>
    <t xml:space="preserve">HFC - 134a  </t>
  </si>
  <si>
    <t xml:space="preserve">HFC - 143 </t>
  </si>
  <si>
    <t xml:space="preserve">HFC - 143a  </t>
  </si>
  <si>
    <t xml:space="preserve">HFC - 152a </t>
  </si>
  <si>
    <t xml:space="preserve">HFC - 227ea </t>
  </si>
  <si>
    <t xml:space="preserve">HFC - 23  </t>
  </si>
  <si>
    <t xml:space="preserve">HFC - 236fa  </t>
  </si>
  <si>
    <t xml:space="preserve">HFC - 245ca </t>
  </si>
  <si>
    <t>HFC - 32</t>
  </si>
  <si>
    <t xml:space="preserve">HFC - 41 </t>
  </si>
  <si>
    <t xml:space="preserve">HFC - 43 - I0mee </t>
  </si>
  <si>
    <t xml:space="preserve">Perfluorobutane </t>
  </si>
  <si>
    <t xml:space="preserve">Perfluoromethane </t>
  </si>
  <si>
    <t xml:space="preserve">Perfluoropropane  </t>
  </si>
  <si>
    <t xml:space="preserve">Perfluoropentane  </t>
  </si>
  <si>
    <t xml:space="preserve">Perfluorocyclobutane  </t>
  </si>
  <si>
    <t xml:space="preserve">Perfluoroethane  </t>
  </si>
  <si>
    <t xml:space="preserve">Perfluorohexane  </t>
  </si>
  <si>
    <t>Total CO2 eq. from Processes</t>
  </si>
  <si>
    <t xml:space="preserve">(3) Data from Defra (2008). Guidelines to Defra's GHG Conversion Factors </t>
  </si>
  <si>
    <t>Enter total outputs, if other types of GHG emissions are emitted enter conversion factors for these</t>
  </si>
  <si>
    <t xml:space="preserve">CO2 from electricity </t>
  </si>
  <si>
    <t xml:space="preserve">Conversion calculator </t>
  </si>
  <si>
    <t xml:space="preserve">Asia </t>
  </si>
  <si>
    <t xml:space="preserve"> tons CO2/kWh</t>
  </si>
  <si>
    <t>kWh into MJ</t>
  </si>
  <si>
    <t xml:space="preserve">kWh </t>
  </si>
  <si>
    <t xml:space="preserve">MJ </t>
  </si>
  <si>
    <t>Bangladesh</t>
  </si>
  <si>
    <t xml:space="preserve">Brunei </t>
  </si>
  <si>
    <t xml:space="preserve">MJ into kWh </t>
  </si>
  <si>
    <t>MJ</t>
  </si>
  <si>
    <t xml:space="preserve">China, People's Republic of </t>
  </si>
  <si>
    <t xml:space="preserve">Taiwan (POC) </t>
  </si>
  <si>
    <t xml:space="preserve">TJ into MJ </t>
  </si>
  <si>
    <t>TJ</t>
  </si>
  <si>
    <t xml:space="preserve">Hong Kong, China </t>
  </si>
  <si>
    <t xml:space="preserve">India </t>
  </si>
  <si>
    <t xml:space="preserve">TJ into kWh </t>
  </si>
  <si>
    <t xml:space="preserve">Indonesia </t>
  </si>
  <si>
    <t>Korea, DPR</t>
  </si>
  <si>
    <t xml:space="preserve">Malaysia </t>
  </si>
  <si>
    <t>Myanmar</t>
  </si>
  <si>
    <t xml:space="preserve">Nepal </t>
  </si>
  <si>
    <t xml:space="preserve">Pakistan </t>
  </si>
  <si>
    <t xml:space="preserve">Philippines </t>
  </si>
  <si>
    <t xml:space="preserve">Sri Lanka </t>
  </si>
  <si>
    <t xml:space="preserve">Thailand </t>
  </si>
  <si>
    <t>Viet Nam</t>
  </si>
  <si>
    <t>Other Asia*</t>
  </si>
  <si>
    <t>*Afghanistan, Bhutan, Fiji, French Polynesia, Kiribati, Maldives, New Caledonia, Papua New Guinea, Samoa, Solomon Islands and Vanuatu.</t>
  </si>
  <si>
    <t>Africa</t>
  </si>
  <si>
    <t xml:space="preserve">Algeria </t>
  </si>
  <si>
    <t>Angola</t>
  </si>
  <si>
    <t xml:space="preserve">Benin </t>
  </si>
  <si>
    <t xml:space="preserve">Cameroon </t>
  </si>
  <si>
    <t xml:space="preserve">Côte d'Ivoire </t>
  </si>
  <si>
    <t xml:space="preserve">Egypt </t>
  </si>
  <si>
    <t xml:space="preserve">Eritrea </t>
  </si>
  <si>
    <t xml:space="preserve">Ethiopia </t>
  </si>
  <si>
    <t>Gabon</t>
  </si>
  <si>
    <t>Ghana</t>
  </si>
  <si>
    <t xml:space="preserve">Kenya </t>
  </si>
  <si>
    <t>Libyan Arab Jamahiriya</t>
  </si>
  <si>
    <t xml:space="preserve">Morocco </t>
  </si>
  <si>
    <t xml:space="preserve">Mozambique </t>
  </si>
  <si>
    <t xml:space="preserve">Namibia </t>
  </si>
  <si>
    <t>Nigeria</t>
  </si>
  <si>
    <t>Senegal</t>
  </si>
  <si>
    <t>South Africa</t>
  </si>
  <si>
    <t xml:space="preserve">Sudan </t>
  </si>
  <si>
    <t xml:space="preserve">Tanzania, United Republic of </t>
  </si>
  <si>
    <t xml:space="preserve">Togo </t>
  </si>
  <si>
    <t xml:space="preserve">Tunisia </t>
  </si>
  <si>
    <t xml:space="preserve">Yemen </t>
  </si>
  <si>
    <t xml:space="preserve">Zimbabwe </t>
  </si>
  <si>
    <t xml:space="preserve">Other Africa* </t>
  </si>
  <si>
    <t>*Botswana, Burkina Faso, Burundi, Cape Verde, Central African Republic, Chad, Djibouti, Equatorial Guinea, Gambia, Guinea, Guinea-Bissau, Lesotho, Liberia, Madagascar, Malawi, Mali, Mauritania, Mauritius, Niger, Rwanda, Sao Tome and Principe, Seychelles, Sierra Leone, Somalia, Swaziland and Uganda</t>
  </si>
  <si>
    <t xml:space="preserve">Middle East </t>
  </si>
  <si>
    <t>tons CO2/kWh</t>
  </si>
  <si>
    <t xml:space="preserve">Bahrain </t>
  </si>
  <si>
    <t xml:space="preserve">Iran, Islamic Republic of </t>
  </si>
  <si>
    <t>Iraq</t>
  </si>
  <si>
    <t>Israel</t>
  </si>
  <si>
    <t xml:space="preserve">Jordan </t>
  </si>
  <si>
    <t>Kuwait</t>
  </si>
  <si>
    <t xml:space="preserve">Lebanon </t>
  </si>
  <si>
    <t xml:space="preserve">Oman </t>
  </si>
  <si>
    <t xml:space="preserve">Qatar </t>
  </si>
  <si>
    <t>Saudi Arabia</t>
  </si>
  <si>
    <t xml:space="preserve">Syrian Arab Republic </t>
  </si>
  <si>
    <t xml:space="preserve">United Arab Emirates </t>
  </si>
  <si>
    <t xml:space="preserve">Europe </t>
  </si>
  <si>
    <t>Albania</t>
  </si>
  <si>
    <t>Armenia</t>
  </si>
  <si>
    <t>Azerbaijan</t>
  </si>
  <si>
    <t xml:space="preserve">Belarus </t>
  </si>
  <si>
    <t>Bosnia-Herzegovina</t>
  </si>
  <si>
    <t>Bulgaria</t>
  </si>
  <si>
    <t xml:space="preserve">Croatia </t>
  </si>
  <si>
    <t>Czech Republic</t>
  </si>
  <si>
    <t xml:space="preserve">Georgia </t>
  </si>
  <si>
    <t>Hungary</t>
  </si>
  <si>
    <t>Kazakhstan</t>
  </si>
  <si>
    <t>Kyrgyzstan</t>
  </si>
  <si>
    <t xml:space="preserve">Macedonia, FYR of </t>
  </si>
  <si>
    <t xml:space="preserve">Moldova, Republic of </t>
  </si>
  <si>
    <t xml:space="preserve">Romania </t>
  </si>
  <si>
    <t xml:space="preserve">Russian Federation </t>
  </si>
  <si>
    <t xml:space="preserve">Slovak Republic </t>
  </si>
  <si>
    <t xml:space="preserve">Tajikistan </t>
  </si>
  <si>
    <t xml:space="preserve">Turkmenistan </t>
  </si>
  <si>
    <t>Ukraine</t>
  </si>
  <si>
    <t xml:space="preserve">Yugoslavia, Federal Republic of </t>
  </si>
  <si>
    <t>Latin America</t>
  </si>
  <si>
    <t>Argentina</t>
  </si>
  <si>
    <t xml:space="preserve">Bolivia </t>
  </si>
  <si>
    <t>Brazil</t>
  </si>
  <si>
    <t>Chile</t>
  </si>
  <si>
    <t>Colombia</t>
  </si>
  <si>
    <t>Costa Rica</t>
  </si>
  <si>
    <t>Cuba</t>
  </si>
  <si>
    <t xml:space="preserve">Dominican Republic </t>
  </si>
  <si>
    <t>Ecuador</t>
  </si>
  <si>
    <t xml:space="preserve">El Salvador </t>
  </si>
  <si>
    <t>Guatemala</t>
  </si>
  <si>
    <t>Haiti</t>
  </si>
  <si>
    <t>Honduras</t>
  </si>
  <si>
    <t xml:space="preserve">Jamaica </t>
  </si>
  <si>
    <t>Mexico</t>
  </si>
  <si>
    <t>Netherlands Antilles</t>
  </si>
  <si>
    <t>Nicaragua</t>
  </si>
  <si>
    <t xml:space="preserve">Panama </t>
  </si>
  <si>
    <t xml:space="preserve">Peru </t>
  </si>
  <si>
    <t xml:space="preserve">Trinidad and Tobago </t>
  </si>
  <si>
    <t>Uruguay</t>
  </si>
  <si>
    <t>Venezuela</t>
  </si>
  <si>
    <t>Other Latin America*</t>
  </si>
  <si>
    <t>*Antigua and Barbuda, Bahamas, Barbados, Belize, Bermuda, Dominica, French, Guiana, Grenada, Guadeloupe, Guyana, Martinique, Saint Kitts and Nevis and Anguilla, Saint Lucia, Saint Vincent and the Grenadines and Suriname</t>
  </si>
  <si>
    <t>World Regions</t>
  </si>
  <si>
    <t>World</t>
  </si>
  <si>
    <t xml:space="preserve">Africa </t>
  </si>
  <si>
    <t xml:space="preserve">Asia excluding China </t>
  </si>
  <si>
    <t xml:space="preserve">China </t>
  </si>
  <si>
    <t xml:space="preserve">Former USSR </t>
  </si>
  <si>
    <t>Middle East</t>
  </si>
  <si>
    <t xml:space="preserve">OECD total </t>
  </si>
  <si>
    <t xml:space="preserve">OECD North America </t>
  </si>
  <si>
    <t>OECD Pacific</t>
  </si>
  <si>
    <t>OECD Europe</t>
  </si>
  <si>
    <t xml:space="preserve">Non-OECD Europe </t>
  </si>
  <si>
    <t xml:space="preserve">Non-OECD total </t>
  </si>
  <si>
    <t>European Union</t>
  </si>
  <si>
    <t>data from UNCTAD (2004) www.unctad.org/en/docs//iteipc20037_en.pdf</t>
  </si>
  <si>
    <t>(GHG Emission Factors can be achieved from GHG Calculator tab)</t>
  </si>
  <si>
    <t>Instruction GHG calculator</t>
  </si>
  <si>
    <t>GHG Calculator</t>
  </si>
  <si>
    <t>CO2 from electricity</t>
  </si>
  <si>
    <t>Always note the date that you made the registration</t>
  </si>
  <si>
    <t>Energy Form, predefined: Electricity, oil, etc.</t>
  </si>
  <si>
    <t>F7, H7</t>
  </si>
  <si>
    <t>Write the names of the corresponding meters, and their kWh-conversion-factor</t>
  </si>
  <si>
    <t>Up to 13 different buildings on your site can be defined here</t>
  </si>
  <si>
    <t>Up to 13 different functions or departments on your site can be defined here</t>
  </si>
  <si>
    <t>Up to 12 different production processes can be defined here, and one predefined "not a process"</t>
  </si>
  <si>
    <r>
      <t>kWh/m</t>
    </r>
    <r>
      <rPr>
        <b/>
        <vertAlign val="superscript"/>
        <sz val="8"/>
        <color rgb="FF000000"/>
        <rFont val="Arial"/>
        <family val="2"/>
      </rPr>
      <t>3</t>
    </r>
  </si>
  <si>
    <t>When a year is finished in the light blue fields, then copy it and insert as text in the corresponding yellow fields</t>
  </si>
  <si>
    <t>kW</t>
  </si>
  <si>
    <t>I</t>
  </si>
  <si>
    <t>H5</t>
  </si>
  <si>
    <t>H7</t>
  </si>
  <si>
    <t>O5</t>
  </si>
  <si>
    <t>O7</t>
  </si>
  <si>
    <t>C15</t>
  </si>
  <si>
    <t>C18</t>
  </si>
  <si>
    <t>C21</t>
  </si>
  <si>
    <t>C25, F25</t>
  </si>
  <si>
    <t>C25, F24</t>
  </si>
  <si>
    <t>C25, F26</t>
  </si>
  <si>
    <t>H14, H18, H21, H25</t>
  </si>
  <si>
    <t>K14, K18, K21, K25</t>
  </si>
  <si>
    <t>E3</t>
  </si>
  <si>
    <t>I10 - I21</t>
  </si>
  <si>
    <t>J10 - O21</t>
  </si>
  <si>
    <t>P10 - U21</t>
  </si>
  <si>
    <t>V10 - X21</t>
  </si>
  <si>
    <t>J10 - K21</t>
  </si>
  <si>
    <t>L10 - L21</t>
  </si>
  <si>
    <t>I10 - R21</t>
  </si>
  <si>
    <t>D3</t>
  </si>
  <si>
    <t>C6, G6</t>
  </si>
  <si>
    <t>C8, G8</t>
  </si>
  <si>
    <t>C10, G10</t>
  </si>
  <si>
    <t>C12, G12</t>
  </si>
  <si>
    <t>C14, G14</t>
  </si>
  <si>
    <t>C22 - C33</t>
  </si>
  <si>
    <t>D22 - D33</t>
  </si>
  <si>
    <t>E22 - E33</t>
  </si>
  <si>
    <t>Number of produced units that uses Oil</t>
  </si>
  <si>
    <t>F22 - F33</t>
  </si>
  <si>
    <t>G22 - G33</t>
  </si>
  <si>
    <t>H22 - H33</t>
  </si>
  <si>
    <t>I22 - I33</t>
  </si>
  <si>
    <t>F87 - F99</t>
  </si>
  <si>
    <t>H87 - H99</t>
  </si>
  <si>
    <t>J88 - J99</t>
  </si>
  <si>
    <t>Column B</t>
  </si>
  <si>
    <t>Column D</t>
  </si>
  <si>
    <t>Descripton of the piece of equipment, Identification number or code of the equipment known to the company</t>
  </si>
  <si>
    <t>Column F</t>
  </si>
  <si>
    <t>Column H</t>
  </si>
  <si>
    <t>Column J</t>
  </si>
  <si>
    <t>Column L</t>
  </si>
  <si>
    <t>Column N</t>
  </si>
  <si>
    <t>Column P</t>
  </si>
  <si>
    <t>Column R</t>
  </si>
  <si>
    <t>Column S</t>
  </si>
  <si>
    <t>Column T</t>
  </si>
  <si>
    <t>Column U</t>
  </si>
  <si>
    <t>Column V</t>
  </si>
  <si>
    <t>The light blue fields to the left in the sheet will all the time show the key data for the ongoing year</t>
  </si>
  <si>
    <t>When the year is finished, the data in the light blue fields can be copied to the next vacant block of yellow fields</t>
  </si>
  <si>
    <t>F3</t>
  </si>
  <si>
    <t>B7</t>
  </si>
  <si>
    <t>F8 - I8</t>
  </si>
  <si>
    <t>G9, I9</t>
  </si>
  <si>
    <t>Write the unit of quantity of meter reading</t>
  </si>
  <si>
    <t>J9</t>
  </si>
  <si>
    <t>Column G, Column I</t>
  </si>
  <si>
    <t>Column K</t>
  </si>
  <si>
    <t>For every line starting Row 10, from top and down, write the following logged data:</t>
  </si>
  <si>
    <t>D10 - E21</t>
  </si>
  <si>
    <t>ABC</t>
  </si>
  <si>
    <t>Utility company</t>
  </si>
  <si>
    <t>Holding company</t>
  </si>
  <si>
    <t>Production</t>
  </si>
  <si>
    <t>Ton</t>
  </si>
  <si>
    <t>A-F Compressor</t>
  </si>
  <si>
    <t xml:space="preserve">Atlascopco Compressor 1 </t>
  </si>
  <si>
    <t>Atlascopco Compressor 2</t>
  </si>
  <si>
    <t>R.O Station</t>
  </si>
  <si>
    <t>cooling towers</t>
  </si>
  <si>
    <t>Ammonia Compressor A</t>
  </si>
  <si>
    <t>Ammonia Compressor B</t>
  </si>
  <si>
    <t>Ammonia Compressor C</t>
  </si>
  <si>
    <t>Ammonia Compressor D</t>
  </si>
  <si>
    <t>Ammonia Compressor E</t>
  </si>
  <si>
    <t>Refrigeration pumps</t>
  </si>
  <si>
    <t>waste water pumps</t>
  </si>
  <si>
    <t>Drum Dumper</t>
  </si>
  <si>
    <t>Sugar dissolving</t>
  </si>
  <si>
    <t>HD- Mixer</t>
  </si>
  <si>
    <t xml:space="preserve">Pasteurizer 1 </t>
  </si>
  <si>
    <t xml:space="preserve">Pasteurizer 2 </t>
  </si>
  <si>
    <t xml:space="preserve">Pasteurizer 3 </t>
  </si>
  <si>
    <t xml:space="preserve">Pasteurizer 5 </t>
  </si>
  <si>
    <t xml:space="preserve">Pasteurizer 6 </t>
  </si>
  <si>
    <t>Filler 1 CFA 112</t>
  </si>
  <si>
    <t>Filler 2 CFA 124</t>
  </si>
  <si>
    <t>Filler 3 CFA 124</t>
  </si>
  <si>
    <t>Filler 4 CFA 124</t>
  </si>
  <si>
    <t>Filler 5 CFA 312</t>
  </si>
  <si>
    <t>Filler 6 CFA 209</t>
  </si>
  <si>
    <t>Filler 7 CFA 312</t>
  </si>
  <si>
    <t>Filler 8 CFA 124</t>
  </si>
  <si>
    <t>Filler 9 CFA 124</t>
  </si>
  <si>
    <t>Filler 12 CFA 124</t>
  </si>
  <si>
    <t>palletizer 1</t>
  </si>
  <si>
    <t>palletizer 2</t>
  </si>
  <si>
    <t>palletizer 3</t>
  </si>
  <si>
    <t>palletizer 4</t>
  </si>
  <si>
    <t>palletizer 5</t>
  </si>
  <si>
    <t>AHU Corridor</t>
  </si>
  <si>
    <t>Production cold store</t>
  </si>
  <si>
    <t>Electricity 2017</t>
  </si>
  <si>
    <t>Total Fuel 2017</t>
  </si>
  <si>
    <t>Total Energy Cost 2017</t>
  </si>
  <si>
    <t>Total CO2 2017</t>
  </si>
  <si>
    <t>KPI Combined 2017</t>
  </si>
  <si>
    <t>[$]</t>
  </si>
  <si>
    <t>[Ton]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</si>
</sst>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0000"/>
    <numFmt numFmtId="166" formatCode="yyyy/mm/dd;@"/>
    <numFmt numFmtId="167" formatCode="#,##0.000"/>
    <numFmt numFmtId="168" formatCode="#,##0.0000"/>
    <numFmt numFmtId="169" formatCode="#,##0.00000"/>
    <numFmt numFmtId="170" formatCode="#,##0.0000000"/>
    <numFmt numFmtId="171" formatCode="dd/mm/yy\ hh:mm;@"/>
    <numFmt numFmtId="172" formatCode="0.0000000000"/>
    <numFmt numFmtId="173" formatCode="yyyy/mm/dd"/>
  </numFmts>
  <fonts count="95" x14ac:knownFonts="1">
    <font>
      <sz val="10"/>
      <name val="Arial"/>
    </font>
    <font>
      <sz val="8"/>
      <name val="Arial"/>
      <family val="2"/>
    </font>
    <font>
      <b/>
      <sz val="8"/>
      <name val="Arial"/>
      <family val="2"/>
    </font>
    <font>
      <sz val="8"/>
      <name val="Arial"/>
      <family val="2"/>
    </font>
    <font>
      <b/>
      <sz val="10"/>
      <name val="Arial"/>
      <family val="2"/>
    </font>
    <font>
      <b/>
      <sz val="8"/>
      <color indexed="55"/>
      <name val="Arial"/>
      <family val="2"/>
    </font>
    <font>
      <sz val="8"/>
      <color indexed="55"/>
      <name val="Arial"/>
      <family val="2"/>
    </font>
    <font>
      <sz val="8"/>
      <color indexed="55"/>
      <name val="Arial"/>
      <family val="2"/>
    </font>
    <font>
      <b/>
      <sz val="8"/>
      <color indexed="55"/>
      <name val="Arial"/>
      <family val="2"/>
    </font>
    <font>
      <u/>
      <sz val="10"/>
      <color indexed="12"/>
      <name val="Arial"/>
      <family val="2"/>
    </font>
    <font>
      <b/>
      <sz val="10"/>
      <color indexed="55"/>
      <name val="Arial"/>
      <family val="2"/>
    </font>
    <font>
      <sz val="10"/>
      <color indexed="55"/>
      <name val="Arial"/>
      <family val="2"/>
    </font>
    <font>
      <b/>
      <sz val="10"/>
      <color indexed="55"/>
      <name val="Arial"/>
      <family val="2"/>
    </font>
    <font>
      <b/>
      <sz val="8"/>
      <color indexed="9"/>
      <name val="Arial"/>
      <family val="2"/>
    </font>
    <font>
      <sz val="10"/>
      <color indexed="55"/>
      <name val="Arial"/>
      <family val="2"/>
    </font>
    <font>
      <sz val="10"/>
      <color indexed="9"/>
      <name val="Verdana"/>
      <family val="2"/>
    </font>
    <font>
      <b/>
      <sz val="14"/>
      <color indexed="21"/>
      <name val="Arial"/>
      <family val="2"/>
    </font>
    <font>
      <b/>
      <u/>
      <sz val="8"/>
      <name val="Arial"/>
      <family val="2"/>
    </font>
    <font>
      <b/>
      <sz val="16"/>
      <color indexed="21"/>
      <name val="Arial"/>
      <family val="2"/>
    </font>
    <font>
      <b/>
      <sz val="16"/>
      <name val="Arial"/>
      <family val="2"/>
    </font>
    <font>
      <b/>
      <sz val="16"/>
      <color indexed="55"/>
      <name val="Arial"/>
      <family val="2"/>
    </font>
    <font>
      <sz val="8"/>
      <color indexed="10"/>
      <name val="Arial"/>
      <family val="2"/>
    </font>
    <font>
      <b/>
      <sz val="8"/>
      <color indexed="9"/>
      <name val="Arial"/>
      <family val="2"/>
    </font>
    <font>
      <sz val="10"/>
      <name val="Arial"/>
      <family val="2"/>
    </font>
    <font>
      <b/>
      <sz val="8"/>
      <name val="Arial"/>
      <family val="2"/>
    </font>
    <font>
      <sz val="9"/>
      <name val="Times New Roman"/>
      <family val="1"/>
    </font>
    <font>
      <sz val="10"/>
      <name val="Tahoma"/>
      <family val="2"/>
    </font>
    <font>
      <sz val="8"/>
      <name val="Tahoma"/>
      <family val="2"/>
    </font>
    <font>
      <b/>
      <sz val="14"/>
      <name val="Tahoma"/>
      <family val="2"/>
    </font>
    <font>
      <b/>
      <sz val="11"/>
      <name val="Tahoma"/>
      <family val="2"/>
    </font>
    <font>
      <b/>
      <sz val="10"/>
      <name val="Tahoma"/>
      <family val="2"/>
    </font>
    <font>
      <sz val="8"/>
      <color indexed="23"/>
      <name val="Tahoma"/>
      <family val="2"/>
    </font>
    <font>
      <b/>
      <sz val="8"/>
      <name val="Tahoma"/>
      <family val="2"/>
    </font>
    <font>
      <b/>
      <sz val="9"/>
      <name val="Tahoma"/>
      <family val="2"/>
    </font>
    <font>
      <sz val="10"/>
      <name val="Tahoma"/>
      <family val="2"/>
    </font>
    <font>
      <b/>
      <sz val="8"/>
      <color indexed="81"/>
      <name val="Tahoma"/>
      <family val="2"/>
    </font>
    <font>
      <sz val="8"/>
      <color indexed="23"/>
      <name val="Arial"/>
      <family val="2"/>
    </font>
    <font>
      <b/>
      <sz val="10"/>
      <color indexed="23"/>
      <name val="Arial"/>
      <family val="2"/>
    </font>
    <font>
      <b/>
      <sz val="8"/>
      <color indexed="23"/>
      <name val="Arial"/>
      <family val="2"/>
    </font>
    <font>
      <sz val="10"/>
      <color indexed="23"/>
      <name val="Arial"/>
      <family val="2"/>
    </font>
    <font>
      <b/>
      <sz val="10"/>
      <color indexed="8"/>
      <name val="Arial"/>
      <family val="2"/>
    </font>
    <font>
      <b/>
      <sz val="8"/>
      <color indexed="8"/>
      <name val="Arial"/>
      <family val="2"/>
    </font>
    <font>
      <sz val="8"/>
      <color indexed="8"/>
      <name val="Arial"/>
      <family val="2"/>
    </font>
    <font>
      <sz val="8"/>
      <color indexed="8"/>
      <name val="Arial"/>
      <family val="2"/>
    </font>
    <font>
      <b/>
      <sz val="8"/>
      <color indexed="8"/>
      <name val="Arial"/>
      <family val="2"/>
    </font>
    <font>
      <b/>
      <sz val="10"/>
      <color indexed="8"/>
      <name val="Arial"/>
      <family val="2"/>
    </font>
    <font>
      <b/>
      <sz val="16"/>
      <color indexed="8"/>
      <name val="Arial"/>
      <family val="2"/>
    </font>
    <font>
      <b/>
      <u/>
      <sz val="8"/>
      <color indexed="9"/>
      <name val="Arial"/>
      <family val="2"/>
    </font>
    <font>
      <sz val="8"/>
      <color indexed="9"/>
      <name val="Arial"/>
      <family val="2"/>
    </font>
    <font>
      <sz val="8"/>
      <color indexed="9"/>
      <name val="Arial"/>
      <family val="2"/>
    </font>
    <font>
      <b/>
      <u/>
      <sz val="8"/>
      <color indexed="9"/>
      <name val="Arial"/>
      <family val="2"/>
    </font>
    <font>
      <sz val="10"/>
      <color indexed="9"/>
      <name val="Arial"/>
      <family val="2"/>
    </font>
    <font>
      <b/>
      <sz val="14"/>
      <color indexed="8"/>
      <name val="Arial"/>
      <family val="2"/>
    </font>
    <font>
      <b/>
      <sz val="12"/>
      <color indexed="8"/>
      <name val="Arial"/>
      <family val="2"/>
    </font>
    <font>
      <b/>
      <sz val="14"/>
      <color indexed="8"/>
      <name val="Arial"/>
      <family val="2"/>
    </font>
    <font>
      <b/>
      <sz val="10"/>
      <color indexed="9"/>
      <name val="Arial"/>
      <family val="2"/>
    </font>
    <font>
      <b/>
      <sz val="16"/>
      <color indexed="9"/>
      <name val="Arial"/>
      <family val="2"/>
    </font>
    <font>
      <b/>
      <sz val="12"/>
      <color indexed="9"/>
      <name val="Arial"/>
      <family val="2"/>
    </font>
    <font>
      <b/>
      <sz val="11"/>
      <color indexed="8"/>
      <name val="Arial"/>
      <family val="2"/>
    </font>
    <font>
      <b/>
      <sz val="18"/>
      <color indexed="8"/>
      <name val="Arial"/>
      <family val="2"/>
    </font>
    <font>
      <sz val="10"/>
      <color indexed="9"/>
      <name val="Tahoma"/>
      <family val="2"/>
    </font>
    <font>
      <b/>
      <sz val="10"/>
      <color indexed="9"/>
      <name val="Arial"/>
      <family val="2"/>
    </font>
    <font>
      <b/>
      <sz val="11"/>
      <color indexed="9"/>
      <name val="Arial"/>
      <family val="2"/>
    </font>
    <font>
      <b/>
      <sz val="14"/>
      <color indexed="9"/>
      <name val="Arial"/>
      <family val="2"/>
    </font>
    <font>
      <b/>
      <sz val="10"/>
      <color indexed="12"/>
      <name val="Arial"/>
      <family val="2"/>
    </font>
    <font>
      <sz val="10"/>
      <color indexed="12"/>
      <name val="Arial"/>
      <family val="2"/>
    </font>
    <font>
      <sz val="10"/>
      <color indexed="9"/>
      <name val="Arial"/>
      <family val="2"/>
    </font>
    <font>
      <u/>
      <sz val="10"/>
      <color indexed="12"/>
      <name val="Arial"/>
      <family val="2"/>
    </font>
    <font>
      <b/>
      <u/>
      <sz val="10"/>
      <color indexed="12"/>
      <name val="Arial"/>
      <family val="2"/>
    </font>
    <font>
      <b/>
      <sz val="10"/>
      <color indexed="8"/>
      <name val="Tahoma"/>
      <family val="2"/>
    </font>
    <font>
      <sz val="8"/>
      <color indexed="23"/>
      <name val="Arial"/>
      <family val="2"/>
    </font>
    <font>
      <b/>
      <sz val="9"/>
      <color indexed="10"/>
      <name val="Arial"/>
      <family val="2"/>
    </font>
    <font>
      <b/>
      <vertAlign val="subscript"/>
      <sz val="8"/>
      <color indexed="8"/>
      <name val="Arial"/>
      <family val="2"/>
    </font>
    <font>
      <vertAlign val="subscript"/>
      <sz val="8"/>
      <color indexed="8"/>
      <name val="Arial"/>
      <family val="2"/>
    </font>
    <font>
      <i/>
      <sz val="10"/>
      <name val="Arial"/>
      <family val="2"/>
    </font>
    <font>
      <b/>
      <sz val="8"/>
      <color indexed="22"/>
      <name val="Arial"/>
      <family val="2"/>
    </font>
    <font>
      <sz val="8"/>
      <color indexed="22"/>
      <name val="Arial"/>
      <family val="2"/>
    </font>
    <font>
      <sz val="10"/>
      <color indexed="22"/>
      <name val="Arial"/>
      <family val="2"/>
    </font>
    <font>
      <sz val="9"/>
      <name val="Tahoma"/>
      <family val="2"/>
    </font>
    <font>
      <b/>
      <sz val="10"/>
      <name val="Calibri"/>
      <family val="2"/>
    </font>
    <font>
      <sz val="10"/>
      <name val="Calibri"/>
      <family val="2"/>
    </font>
    <font>
      <b/>
      <sz val="10"/>
      <color indexed="9"/>
      <name val="Calibri"/>
      <family val="2"/>
    </font>
    <font>
      <sz val="10"/>
      <color indexed="9"/>
      <name val="Calibri"/>
      <family val="2"/>
    </font>
    <font>
      <sz val="9.5"/>
      <name val="Calibri"/>
      <family val="2"/>
    </font>
    <font>
      <i/>
      <sz val="10"/>
      <name val="Calibri"/>
      <family val="2"/>
    </font>
    <font>
      <sz val="10"/>
      <color indexed="8"/>
      <name val="Calibri"/>
      <family val="2"/>
    </font>
    <font>
      <sz val="9"/>
      <color indexed="81"/>
      <name val="Tahoma"/>
      <family val="2"/>
    </font>
    <font>
      <b/>
      <vertAlign val="superscript"/>
      <sz val="8"/>
      <color rgb="FF000000"/>
      <name val="Arial"/>
      <family val="2"/>
    </font>
    <font>
      <sz val="10"/>
      <color theme="0"/>
      <name val="Arial"/>
      <family val="2"/>
    </font>
    <font>
      <sz val="10"/>
      <name val="Arial"/>
    </font>
    <font>
      <sz val="8"/>
      <name val="Arial"/>
    </font>
    <font>
      <sz val="8"/>
      <color rgb="FF000000"/>
      <name val="Arial"/>
    </font>
    <font>
      <sz val="8"/>
      <color rgb="FFC0C0C0"/>
      <name val="Arial"/>
    </font>
    <font>
      <sz val="9"/>
      <name val="Tahoma"/>
    </font>
    <font>
      <sz val="10"/>
      <name val="Tahoma"/>
    </font>
  </fonts>
  <fills count="1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3"/>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63"/>
        <bgColor indexed="64"/>
      </patternFill>
    </fill>
    <fill>
      <patternFill patternType="solid">
        <fgColor indexed="31"/>
        <bgColor indexed="64"/>
      </patternFill>
    </fill>
    <fill>
      <patternFill patternType="solid">
        <fgColor indexed="50"/>
        <bgColor indexed="64"/>
      </patternFill>
    </fill>
    <fill>
      <patternFill patternType="solid">
        <fgColor indexed="24"/>
        <bgColor indexed="64"/>
      </patternFill>
    </fill>
    <fill>
      <patternFill patternType="solid">
        <fgColor indexed="46"/>
        <bgColor indexed="64"/>
      </patternFill>
    </fill>
    <fill>
      <patternFill patternType="solid">
        <fgColor indexed="44"/>
        <bgColor indexed="64"/>
      </patternFill>
    </fill>
    <fill>
      <patternFill patternType="solid">
        <fgColor rgb="FFCCFFFF"/>
        <bgColor indexed="64"/>
      </patternFill>
    </fill>
    <fill>
      <patternFill patternType="solid">
        <fgColor rgb="FFFFFF99"/>
        <bgColor rgb="FFFFFF99"/>
      </patternFill>
    </fill>
    <fill>
      <patternFill patternType="solid">
        <fgColor rgb="FFCCFFCC"/>
        <bgColor rgb="FFCCFFCC"/>
      </patternFill>
    </fill>
  </fills>
  <borders count="170">
    <border>
      <left/>
      <right/>
      <top/>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top style="thin">
        <color indexed="55"/>
      </top>
      <bottom style="thin">
        <color indexed="55"/>
      </bottom>
      <diagonal/>
    </border>
    <border>
      <left style="thin">
        <color indexed="55"/>
      </left>
      <right/>
      <top style="thin">
        <color indexed="55"/>
      </top>
      <bottom/>
      <diagonal/>
    </border>
    <border>
      <left style="thin">
        <color indexed="55"/>
      </left>
      <right style="thin">
        <color indexed="64"/>
      </right>
      <top/>
      <bottom style="thin">
        <color indexed="55"/>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55"/>
      </right>
      <top/>
      <bottom style="thin">
        <color indexed="55"/>
      </bottom>
      <diagonal/>
    </border>
    <border>
      <left/>
      <right style="thin">
        <color indexed="55"/>
      </right>
      <top style="thin">
        <color indexed="55"/>
      </top>
      <bottom style="thin">
        <color indexed="55"/>
      </bottom>
      <diagonal/>
    </border>
    <border>
      <left/>
      <right style="thin">
        <color indexed="55"/>
      </right>
      <top style="thin">
        <color indexed="55"/>
      </top>
      <bottom/>
      <diagonal/>
    </border>
    <border>
      <left style="thin">
        <color indexed="55"/>
      </left>
      <right style="thin">
        <color indexed="64"/>
      </right>
      <top style="thin">
        <color indexed="55"/>
      </top>
      <bottom/>
      <diagonal/>
    </border>
    <border>
      <left style="thick">
        <color indexed="8"/>
      </left>
      <right style="thin">
        <color indexed="64"/>
      </right>
      <top style="thin">
        <color indexed="64"/>
      </top>
      <bottom style="thin">
        <color indexed="64"/>
      </bottom>
      <diagonal/>
    </border>
    <border>
      <left style="thin">
        <color indexed="64"/>
      </left>
      <right style="thick">
        <color indexed="8"/>
      </right>
      <top style="thin">
        <color indexed="64"/>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top style="thin">
        <color indexed="55"/>
      </top>
      <bottom style="thin">
        <color indexed="64"/>
      </bottom>
      <diagonal/>
    </border>
    <border>
      <left style="medium">
        <color indexed="23"/>
      </left>
      <right style="medium">
        <color indexed="23"/>
      </right>
      <top style="medium">
        <color indexed="23"/>
      </top>
      <bottom style="medium">
        <color indexed="23"/>
      </bottom>
      <diagonal/>
    </border>
    <border>
      <left/>
      <right/>
      <top style="medium">
        <color indexed="23"/>
      </top>
      <bottom/>
      <diagonal/>
    </border>
    <border>
      <left/>
      <right style="medium">
        <color indexed="23"/>
      </right>
      <top style="medium">
        <color indexed="23"/>
      </top>
      <bottom/>
      <diagonal/>
    </border>
    <border>
      <left/>
      <right/>
      <top/>
      <bottom style="medium">
        <color indexed="23"/>
      </bottom>
      <diagonal/>
    </border>
    <border>
      <left style="medium">
        <color indexed="64"/>
      </left>
      <right style="medium">
        <color indexed="64"/>
      </right>
      <top style="thin">
        <color indexed="55"/>
      </top>
      <bottom style="thin">
        <color indexed="55"/>
      </bottom>
      <diagonal/>
    </border>
    <border>
      <left style="thin">
        <color indexed="55"/>
      </left>
      <right style="thin">
        <color indexed="55"/>
      </right>
      <top style="thin">
        <color indexed="64"/>
      </top>
      <bottom style="thin">
        <color indexed="55"/>
      </bottom>
      <diagonal/>
    </border>
    <border>
      <left style="medium">
        <color indexed="64"/>
      </left>
      <right style="medium">
        <color indexed="64"/>
      </right>
      <top style="medium">
        <color indexed="64"/>
      </top>
      <bottom style="thin">
        <color indexed="55"/>
      </bottom>
      <diagonal/>
    </border>
    <border>
      <left style="thin">
        <color indexed="64"/>
      </left>
      <right style="thin">
        <color indexed="55"/>
      </right>
      <top style="thin">
        <color indexed="55"/>
      </top>
      <bottom style="thin">
        <color indexed="64"/>
      </bottom>
      <diagonal/>
    </border>
    <border>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style="thin">
        <color indexed="64"/>
      </left>
      <right/>
      <top style="thin">
        <color indexed="55"/>
      </top>
      <bottom style="thin">
        <color indexed="55"/>
      </bottom>
      <diagonal/>
    </border>
    <border>
      <left style="thin">
        <color indexed="64"/>
      </left>
      <right/>
      <top style="thin">
        <color indexed="55"/>
      </top>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55"/>
      </right>
      <top style="thin">
        <color indexed="64"/>
      </top>
      <bottom/>
      <diagonal/>
    </border>
    <border>
      <left style="thin">
        <color indexed="55"/>
      </left>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style="thin">
        <color indexed="64"/>
      </right>
      <top style="thin">
        <color indexed="64"/>
      </top>
      <bottom/>
      <diagonal/>
    </border>
    <border>
      <left/>
      <right style="thin">
        <color indexed="64"/>
      </right>
      <top style="thin">
        <color indexed="55"/>
      </top>
      <bottom style="thin">
        <color indexed="55"/>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55"/>
      </left>
      <right/>
      <top/>
      <bottom style="thin">
        <color indexed="55"/>
      </bottom>
      <diagonal/>
    </border>
    <border>
      <left style="thin">
        <color indexed="64"/>
      </left>
      <right style="thin">
        <color indexed="64"/>
      </right>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thin">
        <color indexed="64"/>
      </right>
      <top style="thin">
        <color indexed="55"/>
      </top>
      <bottom/>
      <diagonal/>
    </border>
    <border>
      <left style="thin">
        <color indexed="55"/>
      </left>
      <right/>
      <top style="thin">
        <color indexed="64"/>
      </top>
      <bottom style="thin">
        <color indexed="64"/>
      </bottom>
      <diagonal/>
    </border>
    <border>
      <left/>
      <right style="thin">
        <color indexed="55"/>
      </right>
      <top style="thin">
        <color indexed="64"/>
      </top>
      <bottom style="thin">
        <color indexed="55"/>
      </bottom>
      <diagonal/>
    </border>
    <border>
      <left style="thin">
        <color indexed="64"/>
      </left>
      <right style="thin">
        <color indexed="64"/>
      </right>
      <top style="thin">
        <color indexed="64"/>
      </top>
      <bottom style="thin">
        <color indexed="55"/>
      </bottom>
      <diagonal/>
    </border>
    <border>
      <left style="thin">
        <color indexed="64"/>
      </left>
      <right style="thin">
        <color indexed="55"/>
      </right>
      <top style="thin">
        <color indexed="64"/>
      </top>
      <bottom/>
      <diagonal/>
    </border>
    <border>
      <left style="medium">
        <color indexed="23"/>
      </left>
      <right/>
      <top/>
      <bottom/>
      <diagonal/>
    </border>
    <border>
      <left style="thin">
        <color indexed="64"/>
      </left>
      <right/>
      <top style="thin">
        <color indexed="55"/>
      </top>
      <bottom style="thin">
        <color indexed="64"/>
      </bottom>
      <diagonal/>
    </border>
    <border>
      <left/>
      <right style="thin">
        <color indexed="55"/>
      </right>
      <top style="thin">
        <color indexed="64"/>
      </top>
      <bottom style="thin">
        <color indexed="64"/>
      </bottom>
      <diagonal/>
    </border>
    <border>
      <left style="thick">
        <color indexed="8"/>
      </left>
      <right style="thin">
        <color indexed="64"/>
      </right>
      <top/>
      <bottom style="thick">
        <color indexed="8"/>
      </bottom>
      <diagonal/>
    </border>
    <border>
      <left style="thin">
        <color indexed="64"/>
      </left>
      <right style="thick">
        <color indexed="8"/>
      </right>
      <top style="thin">
        <color indexed="64"/>
      </top>
      <bottom style="thick">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style="thin">
        <color indexed="64"/>
      </right>
      <top style="thin">
        <color indexed="64"/>
      </top>
      <bottom/>
      <diagonal/>
    </border>
    <border>
      <left/>
      <right style="thick">
        <color indexed="8"/>
      </right>
      <top style="thin">
        <color indexed="64"/>
      </top>
      <bottom/>
      <diagonal/>
    </border>
    <border>
      <left/>
      <right style="thick">
        <color indexed="8"/>
      </right>
      <top style="thin">
        <color indexed="64"/>
      </top>
      <bottom style="thin">
        <color indexed="64"/>
      </bottom>
      <diagonal/>
    </border>
    <border>
      <left/>
      <right style="thick">
        <color indexed="8"/>
      </right>
      <top/>
      <bottom style="thin">
        <color indexed="64"/>
      </bottom>
      <diagonal/>
    </border>
    <border>
      <left/>
      <right/>
      <top/>
      <bottom style="thick">
        <color indexed="8"/>
      </bottom>
      <diagonal/>
    </border>
    <border>
      <left style="thick">
        <color indexed="8"/>
      </left>
      <right/>
      <top/>
      <bottom style="thick">
        <color indexed="8"/>
      </bottom>
      <diagonal/>
    </border>
    <border>
      <left/>
      <right style="thick">
        <color indexed="8"/>
      </right>
      <top/>
      <bottom style="thick">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8"/>
      </left>
      <right/>
      <top style="thin">
        <color indexed="64"/>
      </top>
      <bottom style="thin">
        <color indexed="64"/>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style="medium">
        <color indexed="23"/>
      </left>
      <right/>
      <top/>
      <bottom style="medium">
        <color indexed="23"/>
      </bottom>
      <diagonal/>
    </border>
    <border>
      <left/>
      <right/>
      <top style="thin">
        <color indexed="64"/>
      </top>
      <bottom style="medium">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dotted">
        <color indexed="64"/>
      </bottom>
      <diagonal/>
    </border>
    <border>
      <left/>
      <right style="double">
        <color indexed="64"/>
      </right>
      <top/>
      <bottom style="dotted">
        <color indexed="64"/>
      </bottom>
      <diagonal/>
    </border>
    <border>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dotted">
        <color indexed="64"/>
      </top>
      <bottom style="double">
        <color indexed="64"/>
      </bottom>
      <diagonal/>
    </border>
    <border>
      <left/>
      <right style="thin">
        <color indexed="64"/>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
      <left style="medium">
        <color indexed="23"/>
      </left>
      <right style="medium">
        <color indexed="23"/>
      </right>
      <top/>
      <bottom style="medium">
        <color indexed="23"/>
      </bottom>
      <diagonal/>
    </border>
    <border>
      <left style="thin">
        <color indexed="64"/>
      </left>
      <right/>
      <top/>
      <bottom style="thin">
        <color indexed="55"/>
      </bottom>
      <diagonal/>
    </border>
    <border>
      <left style="thin">
        <color indexed="64"/>
      </left>
      <right style="thin">
        <color indexed="64"/>
      </right>
      <top/>
      <bottom style="medium">
        <color indexed="10"/>
      </bottom>
      <diagonal/>
    </border>
    <border>
      <left style="thin">
        <color indexed="64"/>
      </left>
      <right style="thin">
        <color indexed="55"/>
      </right>
      <top style="thin">
        <color indexed="55"/>
      </top>
      <bottom style="medium">
        <color indexed="10"/>
      </bottom>
      <diagonal/>
    </border>
    <border>
      <left style="thin">
        <color indexed="55"/>
      </left>
      <right style="thin">
        <color indexed="55"/>
      </right>
      <top style="thin">
        <color indexed="55"/>
      </top>
      <bottom style="medium">
        <color indexed="10"/>
      </bottom>
      <diagonal/>
    </border>
    <border>
      <left style="thin">
        <color indexed="55"/>
      </left>
      <right/>
      <top style="thin">
        <color indexed="55"/>
      </top>
      <bottom style="medium">
        <color indexed="10"/>
      </bottom>
      <diagonal/>
    </border>
    <border>
      <left/>
      <right style="thin">
        <color indexed="55"/>
      </right>
      <top style="thin">
        <color indexed="55"/>
      </top>
      <bottom style="medium">
        <color indexed="10"/>
      </bottom>
      <diagonal/>
    </border>
    <border>
      <left style="thin">
        <color indexed="64"/>
      </left>
      <right/>
      <top style="thin">
        <color indexed="64"/>
      </top>
      <bottom style="thin">
        <color indexed="55"/>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rgb="FF000000"/>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000000"/>
      </left>
      <right style="thin">
        <color rgb="FF969696"/>
      </right>
      <top style="thin">
        <color rgb="FF969696"/>
      </top>
      <bottom style="thin">
        <color rgb="FF969696"/>
      </bottom>
      <diagonal/>
    </border>
    <border>
      <left style="thin">
        <color rgb="FF000000"/>
      </left>
      <right style="thin">
        <color rgb="FF969696"/>
      </right>
      <top style="thin">
        <color rgb="FF969696"/>
      </top>
      <bottom/>
      <diagonal/>
    </border>
    <border>
      <left style="thin">
        <color rgb="FF969696"/>
      </left>
      <right style="thin">
        <color rgb="FF969696"/>
      </right>
      <top style="thin">
        <color rgb="FF969696"/>
      </top>
      <bottom style="thin">
        <color rgb="FF969696"/>
      </bottom>
      <diagonal/>
    </border>
    <border>
      <left style="medium">
        <color rgb="FF000000"/>
      </left>
      <right style="medium">
        <color rgb="FF000000"/>
      </right>
      <top style="thin">
        <color rgb="FF969696"/>
      </top>
      <bottom style="thin">
        <color rgb="FF969696"/>
      </bottom>
      <diagonal/>
    </border>
    <border>
      <left style="thin">
        <color rgb="FF969696"/>
      </left>
      <right style="thin">
        <color rgb="FF969696"/>
      </right>
      <top style="thin">
        <color rgb="FF969696"/>
      </top>
      <bottom style="thin">
        <color rgb="FF000000"/>
      </bottom>
      <diagonal/>
    </border>
    <border>
      <left style="thick">
        <color rgb="FF000000"/>
      </left>
      <right style="thin">
        <color rgb="FF000000"/>
      </right>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style="thin">
        <color rgb="FF969696"/>
      </right>
      <top/>
      <bottom style="thin">
        <color rgb="FF969696"/>
      </bottom>
      <diagonal/>
    </border>
    <border>
      <left style="thin">
        <color rgb="FF969696"/>
      </left>
      <right style="thin">
        <color rgb="FF000000"/>
      </right>
      <top/>
      <bottom style="thin">
        <color rgb="FF969696"/>
      </bottom>
      <diagonal/>
    </border>
    <border>
      <left/>
      <right style="thin">
        <color rgb="FF969696"/>
      </right>
      <top style="thin">
        <color rgb="FF969696"/>
      </top>
      <bottom style="thin">
        <color rgb="FF969696"/>
      </bottom>
      <diagonal/>
    </border>
    <border>
      <left style="thin">
        <color rgb="FF000000"/>
      </left>
      <right style="thin">
        <color rgb="FF000000"/>
      </right>
      <top style="thin">
        <color rgb="FF969696"/>
      </top>
      <bottom style="thin">
        <color rgb="FF969696"/>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808080"/>
      </left>
      <right style="medium">
        <color rgb="FF808080"/>
      </right>
      <top style="medium">
        <color rgb="FF808080"/>
      </top>
      <bottom style="medium">
        <color rgb="FF808080"/>
      </bottom>
      <diagonal/>
    </border>
  </borders>
  <cellStyleXfs count="4">
    <xf numFmtId="0" fontId="0" fillId="0" borderId="0"/>
    <xf numFmtId="49" fontId="25" fillId="0" borderId="1" applyNumberFormat="0" applyFont="0" applyFill="0" applyBorder="0" applyProtection="0">
      <alignment horizontal="left" vertical="center" indent="2"/>
    </xf>
    <xf numFmtId="0" fontId="9" fillId="0" borderId="0" applyNumberFormat="0" applyFill="0" applyBorder="0" applyAlignment="0" applyProtection="0">
      <alignment vertical="top"/>
      <protection locked="0"/>
    </xf>
    <xf numFmtId="0" fontId="26" fillId="0" borderId="0"/>
  </cellStyleXfs>
  <cellXfs count="835">
    <xf numFmtId="0" fontId="0" fillId="0" borderId="0" xfId="0"/>
    <xf numFmtId="0" fontId="26" fillId="0" borderId="0" xfId="3" applyFill="1"/>
    <xf numFmtId="0" fontId="0" fillId="0" borderId="0" xfId="0" applyFill="1"/>
    <xf numFmtId="3" fontId="1" fillId="2" borderId="2" xfId="0" applyNumberFormat="1" applyFont="1" applyFill="1" applyBorder="1" applyProtection="1">
      <protection locked="0"/>
    </xf>
    <xf numFmtId="3" fontId="1" fillId="2" borderId="3" xfId="0" applyNumberFormat="1" applyFont="1" applyFill="1" applyBorder="1" applyProtection="1">
      <protection locked="0"/>
    </xf>
    <xf numFmtId="3" fontId="1" fillId="2" borderId="4" xfId="0" applyNumberFormat="1" applyFont="1" applyFill="1" applyBorder="1" applyProtection="1">
      <protection locked="0"/>
    </xf>
    <xf numFmtId="3" fontId="1" fillId="2" borderId="5" xfId="0" applyNumberFormat="1" applyFont="1" applyFill="1" applyBorder="1" applyProtection="1">
      <protection locked="0"/>
    </xf>
    <xf numFmtId="3" fontId="1" fillId="2" borderId="6" xfId="0" applyNumberFormat="1" applyFont="1" applyFill="1" applyBorder="1" applyProtection="1">
      <protection locked="0"/>
    </xf>
    <xf numFmtId="3" fontId="1" fillId="2" borderId="7" xfId="0" applyNumberFormat="1" applyFont="1" applyFill="1" applyBorder="1" applyProtection="1">
      <protection locked="0"/>
    </xf>
    <xf numFmtId="0" fontId="9" fillId="0" borderId="0" xfId="2" applyFill="1" applyBorder="1" applyAlignment="1" applyProtection="1">
      <alignment horizontal="left" vertical="center"/>
    </xf>
    <xf numFmtId="3" fontId="1" fillId="2" borderId="9" xfId="0" applyNumberFormat="1" applyFont="1" applyFill="1" applyBorder="1" applyProtection="1">
      <protection locked="0"/>
    </xf>
    <xf numFmtId="3" fontId="1" fillId="2" borderId="10" xfId="0" applyNumberFormat="1" applyFont="1" applyFill="1" applyBorder="1" applyProtection="1">
      <protection locked="0"/>
    </xf>
    <xf numFmtId="0" fontId="67" fillId="0" borderId="0" xfId="2" applyFont="1" applyFill="1" applyBorder="1" applyAlignment="1" applyProtection="1">
      <alignment horizontal="left" vertical="center"/>
    </xf>
    <xf numFmtId="3" fontId="1" fillId="2" borderId="11" xfId="0" applyNumberFormat="1" applyFont="1" applyFill="1" applyBorder="1" applyProtection="1">
      <protection locked="0"/>
    </xf>
    <xf numFmtId="3" fontId="2" fillId="0" borderId="12" xfId="0" applyNumberFormat="1" applyFont="1" applyFill="1" applyBorder="1" applyAlignment="1">
      <alignment horizontal="center"/>
    </xf>
    <xf numFmtId="3" fontId="2" fillId="0" borderId="0" xfId="0" applyNumberFormat="1" applyFont="1" applyFill="1" applyBorder="1" applyAlignment="1">
      <alignment horizontal="center"/>
    </xf>
    <xf numFmtId="3" fontId="2" fillId="0" borderId="13" xfId="0" applyNumberFormat="1" applyFont="1" applyFill="1" applyBorder="1" applyAlignment="1">
      <alignment horizontal="center"/>
    </xf>
    <xf numFmtId="3" fontId="24" fillId="0" borderId="14" xfId="0" applyNumberFormat="1" applyFont="1" applyFill="1" applyBorder="1" applyAlignment="1">
      <alignment horizontal="center"/>
    </xf>
    <xf numFmtId="3" fontId="24" fillId="0" borderId="15" xfId="0" applyNumberFormat="1" applyFont="1" applyFill="1" applyBorder="1" applyAlignment="1">
      <alignment horizontal="center"/>
    </xf>
    <xf numFmtId="3" fontId="2" fillId="0" borderId="16" xfId="0" applyNumberFormat="1" applyFont="1" applyFill="1" applyBorder="1" applyAlignment="1">
      <alignment horizontal="center"/>
    </xf>
    <xf numFmtId="3" fontId="2" fillId="0" borderId="17" xfId="0" applyNumberFormat="1" applyFont="1" applyFill="1" applyBorder="1" applyAlignment="1">
      <alignment horizontal="center"/>
    </xf>
    <xf numFmtId="3" fontId="2" fillId="0" borderId="18" xfId="0" applyNumberFormat="1" applyFont="1" applyFill="1" applyBorder="1" applyAlignment="1">
      <alignment horizontal="center"/>
    </xf>
    <xf numFmtId="3" fontId="2" fillId="0" borderId="19" xfId="0" applyNumberFormat="1" applyFont="1" applyFill="1" applyBorder="1" applyAlignment="1">
      <alignment horizontal="center"/>
    </xf>
    <xf numFmtId="3" fontId="1" fillId="2" borderId="20" xfId="0" applyNumberFormat="1" applyFont="1" applyFill="1" applyBorder="1" applyProtection="1">
      <protection locked="0"/>
    </xf>
    <xf numFmtId="3" fontId="1" fillId="2" borderId="21" xfId="0" applyNumberFormat="1" applyFont="1" applyFill="1" applyBorder="1" applyProtection="1">
      <protection locked="0"/>
    </xf>
    <xf numFmtId="3" fontId="1" fillId="2" borderId="22" xfId="0" applyNumberFormat="1" applyFont="1" applyFill="1" applyBorder="1" applyProtection="1">
      <protection locked="0"/>
    </xf>
    <xf numFmtId="3" fontId="1" fillId="2" borderId="23" xfId="0" applyNumberFormat="1" applyFont="1" applyFill="1" applyBorder="1" applyProtection="1">
      <protection locked="0"/>
    </xf>
    <xf numFmtId="3" fontId="3" fillId="3" borderId="24" xfId="0" applyNumberFormat="1" applyFont="1" applyFill="1" applyBorder="1" applyAlignment="1" applyProtection="1">
      <alignment horizontal="center" vertical="center"/>
      <protection locked="0"/>
    </xf>
    <xf numFmtId="3" fontId="3" fillId="3" borderId="25" xfId="0" applyNumberFormat="1" applyFont="1" applyFill="1" applyBorder="1" applyAlignment="1" applyProtection="1">
      <alignment horizontal="center" vertical="center"/>
      <protection locked="0"/>
    </xf>
    <xf numFmtId="3" fontId="1" fillId="2" borderId="1" xfId="0" applyNumberFormat="1" applyFont="1" applyFill="1" applyBorder="1" applyAlignment="1" applyProtection="1">
      <alignment vertical="center"/>
      <protection locked="0"/>
    </xf>
    <xf numFmtId="0" fontId="26" fillId="0" borderId="0" xfId="3" applyFill="1" applyAlignment="1">
      <alignment vertical="center" wrapText="1"/>
    </xf>
    <xf numFmtId="0" fontId="26" fillId="0" borderId="0" xfId="3" applyFill="1" applyAlignment="1">
      <alignment vertical="center"/>
    </xf>
    <xf numFmtId="0" fontId="4" fillId="0" borderId="0" xfId="0" applyFont="1"/>
    <xf numFmtId="0" fontId="74" fillId="0" borderId="0" xfId="0" applyFont="1"/>
    <xf numFmtId="3" fontId="76" fillId="3" borderId="1" xfId="0" applyNumberFormat="1" applyFont="1" applyFill="1" applyBorder="1" applyAlignment="1" applyProtection="1">
      <alignment horizontal="center" vertical="center"/>
      <protection locked="0"/>
    </xf>
    <xf numFmtId="166" fontId="26" fillId="2" borderId="28" xfId="3" applyNumberFormat="1" applyFill="1" applyBorder="1" applyAlignment="1" applyProtection="1">
      <alignment horizontal="center" vertical="center" wrapText="1"/>
      <protection locked="0"/>
    </xf>
    <xf numFmtId="164" fontId="26" fillId="2" borderId="28" xfId="3" applyNumberFormat="1" applyFill="1" applyBorder="1" applyAlignment="1" applyProtection="1">
      <alignment horizontal="center" vertical="center" wrapText="1"/>
      <protection locked="0"/>
    </xf>
    <xf numFmtId="167" fontId="26" fillId="2" borderId="28" xfId="3" applyNumberFormat="1" applyFill="1" applyBorder="1" applyAlignment="1" applyProtection="1">
      <alignment horizontal="center" vertical="center" wrapText="1"/>
      <protection locked="0"/>
    </xf>
    <xf numFmtId="3" fontId="26" fillId="2" borderId="28" xfId="3" applyNumberFormat="1" applyFill="1" applyBorder="1" applyAlignment="1" applyProtection="1">
      <alignment horizontal="center" vertical="center" wrapText="1"/>
      <protection locked="0"/>
    </xf>
    <xf numFmtId="164" fontId="26" fillId="3" borderId="28" xfId="3" applyNumberFormat="1" applyFont="1" applyFill="1" applyBorder="1" applyAlignment="1" applyProtection="1">
      <alignment horizontal="center" vertical="center" wrapText="1"/>
      <protection locked="0"/>
    </xf>
    <xf numFmtId="164" fontId="26" fillId="3" borderId="28" xfId="3" applyNumberFormat="1" applyFill="1" applyBorder="1" applyAlignment="1" applyProtection="1">
      <alignment horizontal="center" vertical="center" wrapText="1"/>
      <protection locked="0"/>
    </xf>
    <xf numFmtId="164" fontId="26" fillId="4" borderId="0" xfId="3" applyNumberFormat="1" applyFill="1" applyAlignment="1" applyProtection="1">
      <alignment horizontal="center" vertical="center" wrapText="1"/>
    </xf>
    <xf numFmtId="164" fontId="27" fillId="4" borderId="0" xfId="3" applyNumberFormat="1" applyFont="1" applyFill="1" applyAlignment="1" applyProtection="1">
      <alignment horizontal="center" vertical="center" wrapText="1"/>
    </xf>
    <xf numFmtId="167" fontId="26" fillId="4" borderId="0" xfId="3" applyNumberFormat="1" applyFill="1" applyAlignment="1" applyProtection="1">
      <alignment horizontal="center" vertical="center" wrapText="1"/>
    </xf>
    <xf numFmtId="3" fontId="26" fillId="4" borderId="0" xfId="3" applyNumberFormat="1" applyFill="1" applyAlignment="1" applyProtection="1">
      <alignment horizontal="center" vertical="center" wrapText="1"/>
    </xf>
    <xf numFmtId="164" fontId="26" fillId="0" borderId="29" xfId="3" applyNumberFormat="1" applyFill="1" applyBorder="1" applyAlignment="1" applyProtection="1">
      <alignment horizontal="center" vertical="center" wrapText="1"/>
    </xf>
    <xf numFmtId="3" fontId="26" fillId="0" borderId="30" xfId="3" applyNumberFormat="1" applyFill="1" applyBorder="1" applyAlignment="1" applyProtection="1">
      <alignment horizontal="center" vertical="center" wrapText="1"/>
    </xf>
    <xf numFmtId="164" fontId="26" fillId="0" borderId="31" xfId="3" applyNumberFormat="1" applyFill="1" applyBorder="1" applyAlignment="1" applyProtection="1">
      <alignment horizontal="center" vertical="center" wrapText="1"/>
    </xf>
    <xf numFmtId="3" fontId="29" fillId="0" borderId="28" xfId="3" applyNumberFormat="1" applyFont="1" applyFill="1" applyBorder="1" applyAlignment="1" applyProtection="1">
      <alignment horizontal="center" vertical="center" wrapText="1"/>
    </xf>
    <xf numFmtId="164" fontId="30" fillId="0" borderId="28" xfId="3" applyNumberFormat="1" applyFont="1" applyFill="1" applyBorder="1" applyAlignment="1" applyProtection="1">
      <alignment horizontal="center" vertical="center" wrapText="1"/>
    </xf>
    <xf numFmtId="164" fontId="31" fillId="4" borderId="28" xfId="3" applyNumberFormat="1" applyFont="1" applyFill="1" applyBorder="1" applyAlignment="1" applyProtection="1">
      <alignment horizontal="center" vertical="center" wrapText="1"/>
    </xf>
    <xf numFmtId="167" fontId="32" fillId="0" borderId="28" xfId="3" applyNumberFormat="1" applyFont="1" applyFill="1" applyBorder="1" applyAlignment="1" applyProtection="1">
      <alignment horizontal="center" vertical="center" wrapText="1"/>
    </xf>
    <xf numFmtId="164" fontId="32" fillId="0" borderId="28" xfId="3" applyNumberFormat="1" applyFont="1" applyFill="1" applyBorder="1" applyAlignment="1" applyProtection="1">
      <alignment horizontal="center" vertical="center" wrapText="1"/>
    </xf>
    <xf numFmtId="164" fontId="33" fillId="0" borderId="28" xfId="3" applyNumberFormat="1" applyFont="1" applyFill="1" applyBorder="1" applyAlignment="1" applyProtection="1">
      <alignment horizontal="center" vertical="center" wrapText="1"/>
    </xf>
    <xf numFmtId="3" fontId="32" fillId="0" borderId="28" xfId="3" applyNumberFormat="1" applyFont="1" applyFill="1" applyBorder="1" applyAlignment="1" applyProtection="1">
      <alignment horizontal="center" vertical="center" wrapText="1"/>
    </xf>
    <xf numFmtId="3" fontId="26" fillId="5" borderId="28" xfId="3" applyNumberFormat="1" applyFill="1" applyBorder="1" applyAlignment="1" applyProtection="1">
      <alignment horizontal="center" vertical="center" wrapText="1"/>
    </xf>
    <xf numFmtId="3" fontId="24" fillId="0" borderId="14" xfId="0" applyNumberFormat="1" applyFont="1" applyFill="1" applyBorder="1" applyAlignment="1" applyProtection="1">
      <alignment horizontal="center"/>
    </xf>
    <xf numFmtId="3" fontId="2" fillId="0" borderId="18" xfId="0" applyNumberFormat="1" applyFont="1" applyFill="1" applyBorder="1" applyAlignment="1" applyProtection="1">
      <alignment horizontal="center"/>
    </xf>
    <xf numFmtId="3" fontId="2" fillId="0" borderId="19" xfId="0" applyNumberFormat="1" applyFont="1" applyFill="1" applyBorder="1" applyAlignment="1" applyProtection="1">
      <alignment horizontal="center"/>
    </xf>
    <xf numFmtId="3" fontId="2" fillId="0" borderId="12" xfId="0" applyNumberFormat="1" applyFont="1" applyFill="1" applyBorder="1" applyAlignment="1" applyProtection="1">
      <alignment horizontal="center"/>
    </xf>
    <xf numFmtId="3" fontId="2" fillId="0" borderId="0" xfId="0" applyNumberFormat="1" applyFont="1" applyFill="1" applyBorder="1" applyAlignment="1" applyProtection="1">
      <alignment horizontal="center"/>
    </xf>
    <xf numFmtId="3" fontId="2" fillId="0" borderId="13" xfId="0" applyNumberFormat="1" applyFont="1" applyFill="1" applyBorder="1" applyAlignment="1" applyProtection="1">
      <alignment horizontal="center"/>
    </xf>
    <xf numFmtId="3" fontId="24" fillId="0" borderId="15" xfId="0" applyNumberFormat="1" applyFont="1" applyFill="1" applyBorder="1" applyAlignment="1" applyProtection="1">
      <alignment horizontal="center"/>
    </xf>
    <xf numFmtId="3" fontId="2" fillId="0" borderId="16" xfId="0" applyNumberFormat="1" applyFont="1" applyFill="1" applyBorder="1" applyAlignment="1" applyProtection="1">
      <alignment horizontal="center"/>
    </xf>
    <xf numFmtId="3" fontId="2" fillId="0" borderId="17" xfId="0" applyNumberFormat="1" applyFont="1" applyFill="1" applyBorder="1" applyAlignment="1" applyProtection="1">
      <alignment horizontal="center"/>
    </xf>
    <xf numFmtId="164" fontId="30" fillId="4" borderId="28" xfId="3" applyNumberFormat="1" applyFont="1" applyFill="1" applyBorder="1" applyAlignment="1" applyProtection="1">
      <alignment horizontal="center" vertical="center" wrapText="1"/>
    </xf>
    <xf numFmtId="164" fontId="34" fillId="0" borderId="28" xfId="3" applyNumberFormat="1" applyFont="1" applyFill="1" applyBorder="1" applyAlignment="1" applyProtection="1">
      <alignment horizontal="center" vertical="center" wrapText="1"/>
    </xf>
    <xf numFmtId="164" fontId="26" fillId="0" borderId="28" xfId="3" quotePrefix="1" applyNumberFormat="1" applyFill="1" applyBorder="1" applyAlignment="1" applyProtection="1">
      <alignment horizontal="center" vertical="center" wrapText="1"/>
    </xf>
    <xf numFmtId="164" fontId="26" fillId="0" borderId="28" xfId="3" applyNumberFormat="1" applyFill="1" applyBorder="1" applyAlignment="1" applyProtection="1">
      <alignment horizontal="center" vertical="center" wrapText="1"/>
    </xf>
    <xf numFmtId="164" fontId="26" fillId="0" borderId="28" xfId="3" applyNumberFormat="1" applyFont="1" applyFill="1" applyBorder="1" applyAlignment="1" applyProtection="1">
      <alignment horizontal="center" vertical="center" wrapText="1"/>
    </xf>
    <xf numFmtId="3" fontId="36" fillId="4" borderId="0" xfId="0" applyNumberFormat="1" applyFont="1" applyFill="1" applyAlignment="1" applyProtection="1">
      <alignment vertical="center"/>
    </xf>
    <xf numFmtId="3" fontId="1" fillId="4" borderId="0" xfId="0" applyNumberFormat="1" applyFont="1" applyFill="1" applyAlignment="1" applyProtection="1">
      <alignment vertical="center"/>
    </xf>
    <xf numFmtId="3" fontId="0" fillId="4" borderId="0" xfId="0" applyNumberFormat="1" applyFill="1" applyAlignment="1" applyProtection="1">
      <alignment vertical="center"/>
    </xf>
    <xf numFmtId="3" fontId="18" fillId="4" borderId="0" xfId="0" applyNumberFormat="1" applyFont="1" applyFill="1" applyAlignment="1" applyProtection="1">
      <alignment vertical="center"/>
    </xf>
    <xf numFmtId="4" fontId="0" fillId="4" borderId="0" xfId="0" applyNumberFormat="1" applyFill="1" applyAlignment="1" applyProtection="1">
      <alignment vertical="center"/>
    </xf>
    <xf numFmtId="3" fontId="3" fillId="4" borderId="0" xfId="0" applyNumberFormat="1" applyFont="1" applyFill="1" applyAlignment="1" applyProtection="1">
      <alignment horizontal="left" vertical="center"/>
    </xf>
    <xf numFmtId="4" fontId="1" fillId="4" borderId="0" xfId="0" applyNumberFormat="1" applyFont="1" applyFill="1" applyAlignment="1" applyProtection="1">
      <alignment vertical="center"/>
    </xf>
    <xf numFmtId="3" fontId="6" fillId="4" borderId="0" xfId="0" applyNumberFormat="1" applyFont="1" applyFill="1" applyAlignment="1" applyProtection="1">
      <alignment vertical="center"/>
    </xf>
    <xf numFmtId="4" fontId="6" fillId="4" borderId="0" xfId="0" applyNumberFormat="1" applyFont="1" applyFill="1" applyAlignment="1" applyProtection="1">
      <alignment vertical="center"/>
    </xf>
    <xf numFmtId="3" fontId="14" fillId="4" borderId="0" xfId="0" applyNumberFormat="1" applyFont="1" applyFill="1" applyAlignment="1" applyProtection="1">
      <alignment vertical="center"/>
    </xf>
    <xf numFmtId="3" fontId="21" fillId="4" borderId="0" xfId="0" applyNumberFormat="1" applyFont="1" applyFill="1" applyAlignment="1" applyProtection="1">
      <alignment vertical="center"/>
    </xf>
    <xf numFmtId="3" fontId="41" fillId="0" borderId="14" xfId="0" applyNumberFormat="1" applyFont="1" applyFill="1" applyBorder="1" applyAlignment="1" applyProtection="1">
      <alignment horizontal="right" vertical="center"/>
    </xf>
    <xf numFmtId="1" fontId="1" fillId="0" borderId="33" xfId="0" applyNumberFormat="1" applyFont="1" applyFill="1" applyBorder="1" applyAlignment="1" applyProtection="1">
      <alignment horizontal="center" vertical="center"/>
    </xf>
    <xf numFmtId="3" fontId="49" fillId="4" borderId="0" xfId="0" applyNumberFormat="1" applyFont="1" applyFill="1" applyAlignment="1" applyProtection="1">
      <alignment vertical="center"/>
    </xf>
    <xf numFmtId="4" fontId="49" fillId="4" borderId="0" xfId="0" applyNumberFormat="1" applyFont="1" applyFill="1" applyAlignment="1" applyProtection="1">
      <alignment vertical="center"/>
    </xf>
    <xf numFmtId="3" fontId="50" fillId="4" borderId="0" xfId="0" applyNumberFormat="1" applyFont="1" applyFill="1" applyAlignment="1" applyProtection="1">
      <alignment horizontal="right" vertical="center"/>
    </xf>
    <xf numFmtId="3" fontId="51" fillId="4" borderId="0" xfId="0" applyNumberFormat="1" applyFont="1" applyFill="1" applyAlignment="1" applyProtection="1">
      <alignment vertical="center"/>
    </xf>
    <xf numFmtId="3" fontId="13" fillId="4" borderId="0" xfId="0" applyNumberFormat="1" applyFont="1" applyFill="1" applyBorder="1" applyAlignment="1" applyProtection="1">
      <alignment vertical="center"/>
    </xf>
    <xf numFmtId="3" fontId="13" fillId="4" borderId="0" xfId="0" applyNumberFormat="1" applyFont="1" applyFill="1" applyBorder="1" applyAlignment="1" applyProtection="1">
      <alignment horizontal="center" vertical="center"/>
    </xf>
    <xf numFmtId="3" fontId="41" fillId="0" borderId="1" xfId="0" applyNumberFormat="1" applyFont="1" applyFill="1" applyBorder="1" applyAlignment="1" applyProtection="1">
      <alignment horizontal="right" vertical="center"/>
    </xf>
    <xf numFmtId="3" fontId="36" fillId="4" borderId="0" xfId="0" applyNumberFormat="1" applyFont="1" applyFill="1" applyBorder="1" applyAlignment="1" applyProtection="1">
      <alignment vertical="center"/>
    </xf>
    <xf numFmtId="3" fontId="22" fillId="4" borderId="0" xfId="0" applyNumberFormat="1" applyFont="1" applyFill="1" applyBorder="1" applyAlignment="1" applyProtection="1">
      <alignment horizontal="right" vertical="center"/>
    </xf>
    <xf numFmtId="3" fontId="49" fillId="4" borderId="0" xfId="0" applyNumberFormat="1" applyFont="1" applyFill="1" applyBorder="1" applyAlignment="1" applyProtection="1">
      <alignment vertical="center"/>
    </xf>
    <xf numFmtId="3" fontId="39" fillId="4" borderId="0" xfId="0" applyNumberFormat="1" applyFont="1" applyFill="1" applyAlignment="1" applyProtection="1">
      <alignment vertical="center"/>
    </xf>
    <xf numFmtId="3" fontId="45" fillId="0" borderId="14" xfId="0" applyNumberFormat="1" applyFont="1" applyFill="1" applyBorder="1" applyAlignment="1" applyProtection="1">
      <alignment horizontal="centerContinuous" vertical="center"/>
    </xf>
    <xf numFmtId="3" fontId="45" fillId="0" borderId="18" xfId="0" applyNumberFormat="1" applyFont="1" applyFill="1" applyBorder="1" applyAlignment="1" applyProtection="1">
      <alignment horizontal="centerContinuous" vertical="center"/>
    </xf>
    <xf numFmtId="4" fontId="45" fillId="0" borderId="18" xfId="0" applyNumberFormat="1" applyFont="1" applyFill="1" applyBorder="1" applyAlignment="1" applyProtection="1">
      <alignment horizontal="centerContinuous" vertical="center"/>
    </xf>
    <xf numFmtId="3" fontId="45" fillId="0" borderId="19" xfId="0" applyNumberFormat="1" applyFont="1" applyFill="1" applyBorder="1" applyAlignment="1" applyProtection="1">
      <alignment horizontal="centerContinuous" vertical="center"/>
    </xf>
    <xf numFmtId="4" fontId="45" fillId="0" borderId="14" xfId="0" applyNumberFormat="1" applyFont="1" applyFill="1" applyBorder="1" applyAlignment="1" applyProtection="1">
      <alignment horizontal="centerContinuous" vertical="center"/>
    </xf>
    <xf numFmtId="4" fontId="45" fillId="0" borderId="19" xfId="0" applyNumberFormat="1" applyFont="1" applyFill="1" applyBorder="1" applyAlignment="1" applyProtection="1">
      <alignment horizontal="centerContinuous" vertical="center"/>
    </xf>
    <xf numFmtId="3" fontId="23" fillId="4" borderId="0" xfId="0" applyNumberFormat="1" applyFont="1" applyFill="1" applyAlignment="1" applyProtection="1">
      <alignment vertical="center"/>
    </xf>
    <xf numFmtId="3" fontId="44" fillId="0" borderId="21" xfId="0" applyNumberFormat="1" applyFont="1" applyFill="1" applyBorder="1" applyAlignment="1" applyProtection="1">
      <alignment horizontal="center" vertical="center"/>
    </xf>
    <xf numFmtId="3" fontId="44" fillId="0" borderId="2" xfId="0" applyNumberFormat="1" applyFont="1" applyFill="1" applyBorder="1" applyAlignment="1" applyProtection="1">
      <alignment horizontal="center" vertical="center"/>
    </xf>
    <xf numFmtId="3" fontId="44" fillId="0" borderId="9" xfId="0" applyNumberFormat="1" applyFont="1" applyFill="1" applyBorder="1" applyAlignment="1" applyProtection="1">
      <alignment horizontal="center" vertical="center"/>
    </xf>
    <xf numFmtId="4" fontId="44" fillId="0" borderId="34" xfId="0" applyNumberFormat="1" applyFont="1" applyFill="1" applyBorder="1" applyAlignment="1" applyProtection="1">
      <alignment horizontal="center" vertical="center"/>
    </xf>
    <xf numFmtId="3" fontId="44" fillId="0" borderId="3" xfId="0" applyNumberFormat="1" applyFont="1" applyFill="1" applyBorder="1" applyAlignment="1" applyProtection="1">
      <alignment horizontal="center" vertical="center"/>
    </xf>
    <xf numFmtId="4" fontId="44" fillId="0" borderId="4" xfId="0" applyNumberFormat="1" applyFont="1" applyFill="1" applyBorder="1" applyAlignment="1" applyProtection="1">
      <alignment horizontal="center" vertical="center"/>
    </xf>
    <xf numFmtId="4" fontId="44" fillId="0" borderId="2" xfId="0" applyNumberFormat="1" applyFont="1" applyFill="1" applyBorder="1" applyAlignment="1" applyProtection="1">
      <alignment horizontal="center" vertical="center"/>
    </xf>
    <xf numFmtId="4" fontId="44" fillId="0" borderId="9" xfId="0" applyNumberFormat="1" applyFont="1" applyFill="1" applyBorder="1" applyAlignment="1" applyProtection="1">
      <alignment horizontal="center" vertical="center"/>
    </xf>
    <xf numFmtId="3" fontId="44" fillId="0" borderId="4" xfId="0" applyNumberFormat="1" applyFont="1" applyFill="1" applyBorder="1" applyAlignment="1" applyProtection="1">
      <alignment horizontal="center" vertical="center"/>
    </xf>
    <xf numFmtId="4" fontId="44" fillId="0" borderId="3" xfId="0" applyNumberFormat="1" applyFont="1" applyFill="1" applyBorder="1" applyAlignment="1" applyProtection="1">
      <alignment horizontal="center" vertical="center"/>
    </xf>
    <xf numFmtId="4" fontId="44" fillId="0" borderId="32" xfId="0" applyNumberFormat="1" applyFont="1" applyFill="1" applyBorder="1" applyAlignment="1" applyProtection="1">
      <alignment horizontal="center" vertical="center"/>
    </xf>
    <xf numFmtId="3" fontId="44" fillId="0" borderId="7" xfId="0" applyNumberFormat="1" applyFont="1" applyFill="1" applyBorder="1" applyAlignment="1" applyProtection="1">
      <alignment horizontal="center" vertical="center"/>
    </xf>
    <xf numFmtId="3" fontId="1" fillId="0" borderId="21" xfId="0" applyNumberFormat="1" applyFont="1" applyBorder="1" applyAlignment="1" applyProtection="1">
      <alignment vertical="center"/>
    </xf>
    <xf numFmtId="3" fontId="1" fillId="0" borderId="2" xfId="0" applyNumberFormat="1" applyFont="1" applyBorder="1" applyAlignment="1" applyProtection="1">
      <alignment vertical="center"/>
    </xf>
    <xf numFmtId="3" fontId="1" fillId="0" borderId="9" xfId="0" applyNumberFormat="1" applyFont="1" applyBorder="1" applyAlignment="1" applyProtection="1">
      <alignment vertical="center"/>
    </xf>
    <xf numFmtId="3" fontId="1" fillId="0" borderId="3" xfId="0" applyNumberFormat="1" applyFont="1" applyBorder="1" applyAlignment="1" applyProtection="1">
      <alignment vertical="center"/>
    </xf>
    <xf numFmtId="4" fontId="1" fillId="0" borderId="4" xfId="0" applyNumberFormat="1" applyFont="1" applyBorder="1" applyAlignment="1" applyProtection="1">
      <alignment vertical="center"/>
    </xf>
    <xf numFmtId="4" fontId="1" fillId="0" borderId="2" xfId="0" applyNumberFormat="1" applyFont="1" applyBorder="1" applyAlignment="1" applyProtection="1">
      <alignment vertical="center"/>
    </xf>
    <xf numFmtId="4" fontId="1" fillId="0" borderId="9" xfId="0" applyNumberFormat="1" applyFont="1" applyBorder="1" applyAlignment="1" applyProtection="1">
      <alignment vertical="center"/>
    </xf>
    <xf numFmtId="3" fontId="1" fillId="0" borderId="4" xfId="0" applyNumberFormat="1" applyFont="1" applyBorder="1" applyAlignment="1" applyProtection="1">
      <alignment vertical="center"/>
    </xf>
    <xf numFmtId="4" fontId="1" fillId="0" borderId="3" xfId="0" applyNumberFormat="1" applyFont="1" applyBorder="1" applyAlignment="1" applyProtection="1">
      <alignment vertical="center"/>
    </xf>
    <xf numFmtId="3" fontId="44" fillId="0" borderId="35" xfId="0" applyNumberFormat="1" applyFont="1" applyFill="1" applyBorder="1" applyAlignment="1" applyProtection="1">
      <alignment horizontal="center" vertical="center"/>
    </xf>
    <xf numFmtId="3" fontId="1" fillId="0" borderId="36" xfId="0" applyNumberFormat="1" applyFont="1" applyBorder="1" applyAlignment="1" applyProtection="1">
      <alignment vertical="center"/>
    </xf>
    <xf numFmtId="3" fontId="1" fillId="0" borderId="26" xfId="0" applyNumberFormat="1" applyFont="1" applyBorder="1" applyAlignment="1" applyProtection="1">
      <alignment vertical="center"/>
    </xf>
    <xf numFmtId="3" fontId="1" fillId="0" borderId="27" xfId="0" applyNumberFormat="1" applyFont="1" applyBorder="1" applyAlignment="1" applyProtection="1">
      <alignment vertical="center"/>
    </xf>
    <xf numFmtId="3" fontId="1" fillId="0" borderId="37" xfId="0" applyNumberFormat="1" applyFont="1" applyBorder="1" applyAlignment="1" applyProtection="1">
      <alignment vertical="center"/>
    </xf>
    <xf numFmtId="4" fontId="1" fillId="0" borderId="35" xfId="0" applyNumberFormat="1" applyFont="1" applyBorder="1" applyAlignment="1" applyProtection="1">
      <alignment vertical="center"/>
    </xf>
    <xf numFmtId="4" fontId="1" fillId="0" borderId="26" xfId="0" applyNumberFormat="1" applyFont="1" applyBorder="1" applyAlignment="1" applyProtection="1">
      <alignment vertical="center"/>
    </xf>
    <xf numFmtId="4" fontId="1" fillId="0" borderId="27" xfId="0" applyNumberFormat="1" applyFont="1" applyBorder="1" applyAlignment="1" applyProtection="1">
      <alignment vertical="center"/>
    </xf>
    <xf numFmtId="3" fontId="1" fillId="0" borderId="35" xfId="0" applyNumberFormat="1" applyFont="1" applyBorder="1" applyAlignment="1" applyProtection="1">
      <alignment vertical="center"/>
    </xf>
    <xf numFmtId="4" fontId="1" fillId="0" borderId="37" xfId="0" applyNumberFormat="1" applyFont="1" applyBorder="1" applyAlignment="1" applyProtection="1">
      <alignment vertical="center"/>
    </xf>
    <xf numFmtId="3" fontId="36" fillId="4" borderId="0" xfId="0" applyNumberFormat="1" applyFont="1" applyFill="1" applyAlignment="1" applyProtection="1">
      <alignment horizontal="center" vertical="center"/>
    </xf>
    <xf numFmtId="3" fontId="24" fillId="0" borderId="14" xfId="0" applyNumberFormat="1" applyFont="1" applyFill="1" applyBorder="1" applyAlignment="1" applyProtection="1">
      <alignment horizontal="center" vertical="center"/>
    </xf>
    <xf numFmtId="3" fontId="2" fillId="0" borderId="18" xfId="0" applyNumberFormat="1" applyFont="1" applyFill="1" applyBorder="1" applyAlignment="1" applyProtection="1">
      <alignment horizontal="center" vertical="center"/>
    </xf>
    <xf numFmtId="3" fontId="2" fillId="0" borderId="19" xfId="0" applyNumberFormat="1" applyFont="1" applyFill="1" applyBorder="1" applyAlignment="1" applyProtection="1">
      <alignment horizontal="center" vertical="center"/>
    </xf>
    <xf numFmtId="3" fontId="2" fillId="4" borderId="0" xfId="0" applyNumberFormat="1" applyFont="1" applyFill="1" applyBorder="1" applyAlignment="1" applyProtection="1">
      <alignment horizontal="right" vertical="center"/>
    </xf>
    <xf numFmtId="4" fontId="2" fillId="4" borderId="0" xfId="0" applyNumberFormat="1" applyFont="1" applyFill="1" applyBorder="1" applyAlignment="1" applyProtection="1">
      <alignment horizontal="right" vertical="center"/>
    </xf>
    <xf numFmtId="4" fontId="4" fillId="4" borderId="0" xfId="0" applyNumberFormat="1" applyFont="1" applyFill="1" applyAlignment="1" applyProtection="1">
      <alignment horizontal="right" vertical="center"/>
    </xf>
    <xf numFmtId="4" fontId="8" fillId="4" borderId="0" xfId="0" applyNumberFormat="1" applyFont="1" applyFill="1" applyAlignment="1" applyProtection="1">
      <alignment horizontal="right" vertical="center"/>
    </xf>
    <xf numFmtId="3" fontId="2" fillId="4" borderId="0" xfId="0" applyNumberFormat="1" applyFont="1" applyFill="1" applyAlignment="1" applyProtection="1">
      <alignment horizontal="right" vertical="center"/>
    </xf>
    <xf numFmtId="3" fontId="4" fillId="4" borderId="0" xfId="0" applyNumberFormat="1" applyFont="1" applyFill="1" applyAlignment="1" applyProtection="1">
      <alignment horizontal="right" vertical="center"/>
    </xf>
    <xf numFmtId="3" fontId="8" fillId="4" borderId="0" xfId="0" applyNumberFormat="1" applyFont="1" applyFill="1" applyAlignment="1" applyProtection="1">
      <alignment horizontal="right" vertical="center"/>
    </xf>
    <xf numFmtId="3" fontId="11" fillId="4" borderId="0" xfId="0" applyNumberFormat="1" applyFont="1" applyFill="1" applyAlignment="1" applyProtection="1">
      <alignment horizontal="right" vertical="center"/>
    </xf>
    <xf numFmtId="3" fontId="12" fillId="4" borderId="0" xfId="0" applyNumberFormat="1" applyFont="1" applyFill="1" applyAlignment="1" applyProtection="1">
      <alignment horizontal="right" vertical="center"/>
    </xf>
    <xf numFmtId="3" fontId="2" fillId="0" borderId="12" xfId="0" applyNumberFormat="1" applyFont="1" applyFill="1" applyBorder="1" applyAlignment="1" applyProtection="1">
      <alignment horizontal="center" vertical="center"/>
    </xf>
    <xf numFmtId="3" fontId="2" fillId="0" borderId="0" xfId="0" applyNumberFormat="1" applyFont="1" applyFill="1" applyBorder="1" applyAlignment="1" applyProtection="1">
      <alignment horizontal="center" vertical="center"/>
    </xf>
    <xf numFmtId="3" fontId="2" fillId="0" borderId="13" xfId="0" applyNumberFormat="1" applyFont="1" applyFill="1" applyBorder="1" applyAlignment="1" applyProtection="1">
      <alignment horizontal="center" vertical="center"/>
    </xf>
    <xf numFmtId="3" fontId="2" fillId="4" borderId="0" xfId="0" applyNumberFormat="1" applyFont="1" applyFill="1" applyAlignment="1" applyProtection="1">
      <alignment horizontal="center" vertical="center"/>
    </xf>
    <xf numFmtId="3" fontId="11" fillId="4" borderId="0" xfId="0" applyNumberFormat="1" applyFont="1" applyFill="1" applyAlignment="1" applyProtection="1">
      <alignment vertical="center"/>
    </xf>
    <xf numFmtId="3" fontId="12" fillId="4" borderId="0" xfId="0" applyNumberFormat="1" applyFont="1" applyFill="1" applyAlignment="1" applyProtection="1">
      <alignment vertical="center"/>
    </xf>
    <xf numFmtId="3" fontId="24" fillId="0" borderId="15" xfId="0" applyNumberFormat="1" applyFont="1" applyFill="1" applyBorder="1" applyAlignment="1" applyProtection="1">
      <alignment horizontal="center" vertical="center"/>
    </xf>
    <xf numFmtId="3" fontId="2" fillId="0" borderId="16" xfId="0" applyNumberFormat="1" applyFont="1" applyFill="1" applyBorder="1" applyAlignment="1" applyProtection="1">
      <alignment horizontal="center" vertical="center"/>
    </xf>
    <xf numFmtId="3" fontId="2" fillId="0" borderId="17" xfId="0" applyNumberFormat="1" applyFont="1" applyFill="1" applyBorder="1" applyAlignment="1" applyProtection="1">
      <alignment horizontal="center" vertical="center"/>
    </xf>
    <xf numFmtId="3" fontId="1" fillId="4" borderId="0" xfId="0" applyNumberFormat="1" applyFont="1" applyFill="1" applyProtection="1"/>
    <xf numFmtId="3" fontId="2" fillId="4" borderId="0" xfId="0" applyNumberFormat="1" applyFont="1" applyFill="1" applyAlignment="1" applyProtection="1">
      <alignment horizontal="center"/>
    </xf>
    <xf numFmtId="3" fontId="18" fillId="4" borderId="0" xfId="0" applyNumberFormat="1" applyFont="1" applyFill="1" applyAlignment="1" applyProtection="1">
      <alignment vertical="center" wrapText="1"/>
    </xf>
    <xf numFmtId="3" fontId="3" fillId="4" borderId="0" xfId="0" applyNumberFormat="1" applyFont="1" applyFill="1" applyAlignment="1" applyProtection="1">
      <alignment horizontal="left"/>
    </xf>
    <xf numFmtId="164" fontId="2" fillId="4" borderId="0" xfId="0" applyNumberFormat="1" applyFont="1" applyFill="1" applyAlignment="1" applyProtection="1">
      <alignment horizontal="center"/>
    </xf>
    <xf numFmtId="164" fontId="0" fillId="4" borderId="0" xfId="0" applyNumberFormat="1" applyFill="1" applyProtection="1"/>
    <xf numFmtId="3" fontId="0" fillId="4" borderId="0" xfId="0" applyNumberFormat="1" applyFill="1" applyProtection="1"/>
    <xf numFmtId="3" fontId="6" fillId="4" borderId="0" xfId="0" applyNumberFormat="1" applyFont="1" applyFill="1" applyProtection="1"/>
    <xf numFmtId="3" fontId="14" fillId="4" borderId="0" xfId="0" applyNumberFormat="1" applyFont="1" applyFill="1" applyProtection="1"/>
    <xf numFmtId="3" fontId="43" fillId="0" borderId="38" xfId="0" applyNumberFormat="1" applyFont="1" applyFill="1" applyBorder="1" applyProtection="1"/>
    <xf numFmtId="1" fontId="43" fillId="0" borderId="39" xfId="0" applyNumberFormat="1" applyFont="1" applyFill="1" applyBorder="1" applyAlignment="1" applyProtection="1">
      <alignment horizontal="center" vertical="center"/>
    </xf>
    <xf numFmtId="3" fontId="21" fillId="4" borderId="0" xfId="0" applyNumberFormat="1" applyFont="1" applyFill="1" applyAlignment="1" applyProtection="1">
      <alignment horizontal="left"/>
    </xf>
    <xf numFmtId="3" fontId="15" fillId="4" borderId="0" xfId="0" applyNumberFormat="1" applyFont="1" applyFill="1" applyProtection="1"/>
    <xf numFmtId="164" fontId="1" fillId="4" borderId="0" xfId="0" applyNumberFormat="1" applyFont="1" applyFill="1" applyProtection="1"/>
    <xf numFmtId="3" fontId="19" fillId="4" borderId="0" xfId="0" applyNumberFormat="1" applyFont="1" applyFill="1" applyAlignment="1" applyProtection="1">
      <alignment vertical="center"/>
    </xf>
    <xf numFmtId="3" fontId="46" fillId="0" borderId="14" xfId="0" applyNumberFormat="1" applyFont="1" applyFill="1" applyBorder="1" applyAlignment="1" applyProtection="1">
      <alignment horizontal="centerContinuous" vertical="center"/>
    </xf>
    <xf numFmtId="3" fontId="46" fillId="0" borderId="18" xfId="0" applyNumberFormat="1" applyFont="1" applyFill="1" applyBorder="1" applyAlignment="1" applyProtection="1">
      <alignment horizontal="centerContinuous" vertical="center"/>
    </xf>
    <xf numFmtId="164" fontId="46" fillId="0" borderId="18" xfId="0" applyNumberFormat="1" applyFont="1" applyFill="1" applyBorder="1" applyAlignment="1" applyProtection="1">
      <alignment horizontal="centerContinuous" vertical="center"/>
    </xf>
    <xf numFmtId="164" fontId="46" fillId="0" borderId="19" xfId="0" applyNumberFormat="1" applyFont="1" applyFill="1" applyBorder="1" applyAlignment="1" applyProtection="1">
      <alignment vertical="center"/>
    </xf>
    <xf numFmtId="3" fontId="20" fillId="4" borderId="0" xfId="0" applyNumberFormat="1" applyFont="1" applyFill="1" applyAlignment="1" applyProtection="1">
      <alignment vertical="center"/>
    </xf>
    <xf numFmtId="3" fontId="4" fillId="4" borderId="0" xfId="0" applyNumberFormat="1" applyFont="1" applyFill="1" applyAlignment="1" applyProtection="1">
      <alignment vertical="center"/>
    </xf>
    <xf numFmtId="3" fontId="40" fillId="0" borderId="12" xfId="0" applyNumberFormat="1" applyFont="1" applyFill="1" applyBorder="1" applyAlignment="1" applyProtection="1">
      <alignment horizontal="centerContinuous" vertical="center"/>
    </xf>
    <xf numFmtId="3" fontId="41" fillId="0" borderId="40" xfId="0" applyNumberFormat="1" applyFont="1" applyFill="1" applyBorder="1" applyAlignment="1" applyProtection="1">
      <alignment horizontal="centerContinuous" vertical="center" wrapText="1"/>
    </xf>
    <xf numFmtId="3" fontId="40" fillId="0" borderId="33" xfId="0" applyNumberFormat="1" applyFont="1" applyFill="1" applyBorder="1" applyAlignment="1" applyProtection="1">
      <alignment horizontal="centerContinuous" vertical="center"/>
    </xf>
    <xf numFmtId="3" fontId="40" fillId="0" borderId="41" xfId="0" applyNumberFormat="1" applyFont="1" applyFill="1" applyBorder="1" applyAlignment="1" applyProtection="1">
      <alignment horizontal="centerContinuous" vertical="center"/>
    </xf>
    <xf numFmtId="164" fontId="41" fillId="0" borderId="40" xfId="0" applyNumberFormat="1" applyFont="1" applyFill="1" applyBorder="1" applyAlignment="1" applyProtection="1">
      <alignment horizontal="centerContinuous" vertical="center" wrapText="1"/>
    </xf>
    <xf numFmtId="164" fontId="40" fillId="0" borderId="33" xfId="0" applyNumberFormat="1" applyFont="1" applyFill="1" applyBorder="1" applyAlignment="1" applyProtection="1">
      <alignment horizontal="centerContinuous" vertical="center"/>
    </xf>
    <xf numFmtId="164" fontId="40" fillId="0" borderId="41" xfId="0" applyNumberFormat="1" applyFont="1" applyFill="1" applyBorder="1" applyAlignment="1" applyProtection="1">
      <alignment horizontal="centerContinuous" vertical="center"/>
    </xf>
    <xf numFmtId="3" fontId="5" fillId="4" borderId="0" xfId="0" applyNumberFormat="1" applyFont="1" applyFill="1" applyAlignment="1" applyProtection="1">
      <alignment vertical="center"/>
    </xf>
    <xf numFmtId="3" fontId="10" fillId="4" borderId="0" xfId="0" applyNumberFormat="1" applyFont="1" applyFill="1" applyAlignment="1" applyProtection="1">
      <alignment vertical="center"/>
    </xf>
    <xf numFmtId="3" fontId="2" fillId="4" borderId="0" xfId="0" applyNumberFormat="1" applyFont="1" applyFill="1" applyAlignment="1" applyProtection="1">
      <alignment horizontal="center" vertical="center" wrapText="1"/>
    </xf>
    <xf numFmtId="3" fontId="41" fillId="0" borderId="12" xfId="0" applyNumberFormat="1" applyFont="1" applyFill="1" applyBorder="1" applyAlignment="1" applyProtection="1">
      <alignment horizontal="center" vertical="center" wrapText="1"/>
    </xf>
    <xf numFmtId="3" fontId="41" fillId="0" borderId="4" xfId="0" applyNumberFormat="1" applyFont="1" applyFill="1" applyBorder="1" applyAlignment="1" applyProtection="1">
      <alignment horizontal="center" vertical="center" wrapText="1"/>
    </xf>
    <xf numFmtId="3" fontId="41" fillId="0" borderId="2" xfId="0" applyNumberFormat="1" applyFont="1" applyFill="1" applyBorder="1" applyAlignment="1" applyProtection="1">
      <alignment horizontal="center" vertical="center" wrapText="1"/>
    </xf>
    <xf numFmtId="3" fontId="41" fillId="0" borderId="3" xfId="0" applyNumberFormat="1" applyFont="1" applyFill="1" applyBorder="1" applyAlignment="1" applyProtection="1">
      <alignment horizontal="center" vertical="center" wrapText="1"/>
    </xf>
    <xf numFmtId="164" fontId="41" fillId="0" borderId="4" xfId="0" applyNumberFormat="1" applyFont="1" applyFill="1" applyBorder="1" applyAlignment="1" applyProtection="1">
      <alignment horizontal="center" vertical="center" wrapText="1"/>
    </xf>
    <xf numFmtId="164" fontId="41" fillId="0" borderId="2" xfId="0" applyNumberFormat="1" applyFont="1" applyFill="1" applyBorder="1" applyAlignment="1" applyProtection="1">
      <alignment horizontal="center" vertical="center" wrapText="1"/>
    </xf>
    <xf numFmtId="164" fontId="41" fillId="0" borderId="3" xfId="0" applyNumberFormat="1" applyFont="1" applyFill="1" applyBorder="1" applyAlignment="1" applyProtection="1">
      <alignment horizontal="center" vertical="center" wrapText="1"/>
    </xf>
    <xf numFmtId="3" fontId="5" fillId="4" borderId="0" xfId="0" applyNumberFormat="1" applyFont="1" applyFill="1" applyAlignment="1" applyProtection="1">
      <alignment horizontal="center" vertical="center" wrapText="1"/>
    </xf>
    <xf numFmtId="3" fontId="41" fillId="0" borderId="12" xfId="0" applyNumberFormat="1" applyFont="1" applyFill="1" applyBorder="1" applyAlignment="1" applyProtection="1">
      <alignment horizontal="center"/>
    </xf>
    <xf numFmtId="3" fontId="41" fillId="0" borderId="4" xfId="0" applyNumberFormat="1" applyFont="1" applyFill="1" applyBorder="1" applyAlignment="1" applyProtection="1">
      <alignment horizontal="center"/>
    </xf>
    <xf numFmtId="3" fontId="41" fillId="0" borderId="2" xfId="0" applyNumberFormat="1" applyFont="1" applyFill="1" applyBorder="1" applyAlignment="1" applyProtection="1">
      <alignment horizontal="center"/>
    </xf>
    <xf numFmtId="3" fontId="41" fillId="0" borderId="3" xfId="0" applyNumberFormat="1" applyFont="1" applyFill="1" applyBorder="1" applyAlignment="1" applyProtection="1">
      <alignment horizontal="center"/>
    </xf>
    <xf numFmtId="164" fontId="41" fillId="0" borderId="4" xfId="0" applyNumberFormat="1" applyFont="1" applyFill="1" applyBorder="1" applyAlignment="1" applyProtection="1">
      <alignment horizontal="center"/>
    </xf>
    <xf numFmtId="3" fontId="5" fillId="4" borderId="0" xfId="0" applyNumberFormat="1" applyFont="1" applyFill="1" applyAlignment="1" applyProtection="1">
      <alignment horizontal="center"/>
    </xf>
    <xf numFmtId="3" fontId="41" fillId="0" borderId="42" xfId="0" applyNumberFormat="1" applyFont="1" applyFill="1" applyBorder="1" applyAlignment="1" applyProtection="1">
      <alignment horizontal="center"/>
    </xf>
    <xf numFmtId="3" fontId="42" fillId="0" borderId="4" xfId="0" applyNumberFormat="1" applyFont="1" applyFill="1" applyBorder="1" applyProtection="1"/>
    <xf numFmtId="3" fontId="42" fillId="0" borderId="2" xfId="0" applyNumberFormat="1" applyFont="1" applyFill="1" applyBorder="1" applyProtection="1"/>
    <xf numFmtId="3" fontId="42" fillId="0" borderId="3" xfId="0" applyNumberFormat="1" applyFont="1" applyFill="1" applyBorder="1" applyProtection="1"/>
    <xf numFmtId="3" fontId="42" fillId="0" borderId="4" xfId="0" applyNumberFormat="1" applyFont="1" applyFill="1" applyBorder="1" applyAlignment="1" applyProtection="1">
      <alignment horizontal="right"/>
    </xf>
    <xf numFmtId="3" fontId="42" fillId="0" borderId="2" xfId="0" applyNumberFormat="1" applyFont="1" applyFill="1" applyBorder="1" applyAlignment="1" applyProtection="1">
      <alignment horizontal="right"/>
    </xf>
    <xf numFmtId="3" fontId="42" fillId="0" borderId="3" xfId="0" applyNumberFormat="1" applyFont="1" applyFill="1" applyBorder="1" applyAlignment="1" applyProtection="1">
      <alignment horizontal="right"/>
    </xf>
    <xf numFmtId="164" fontId="42" fillId="0" borderId="4" xfId="0" applyNumberFormat="1" applyFont="1" applyFill="1" applyBorder="1" applyProtection="1"/>
    <xf numFmtId="164" fontId="42" fillId="0" borderId="2" xfId="0" applyNumberFormat="1" applyFont="1" applyFill="1" applyBorder="1" applyProtection="1"/>
    <xf numFmtId="164" fontId="42" fillId="0" borderId="3" xfId="0" applyNumberFormat="1" applyFont="1" applyFill="1" applyBorder="1" applyProtection="1"/>
    <xf numFmtId="3" fontId="41" fillId="0" borderId="43" xfId="0" applyNumberFormat="1" applyFont="1" applyFill="1" applyBorder="1" applyAlignment="1" applyProtection="1">
      <alignment horizontal="center"/>
    </xf>
    <xf numFmtId="3" fontId="2" fillId="4" borderId="0" xfId="0" applyNumberFormat="1" applyFont="1" applyFill="1" applyAlignment="1" applyProtection="1">
      <alignment horizontal="right"/>
    </xf>
    <xf numFmtId="3" fontId="41" fillId="0" borderId="38" xfId="0" applyNumberFormat="1" applyFont="1" applyFill="1" applyBorder="1" applyAlignment="1" applyProtection="1">
      <alignment horizontal="center"/>
    </xf>
    <xf numFmtId="3" fontId="41" fillId="0" borderId="44" xfId="0" applyNumberFormat="1" applyFont="1" applyFill="1" applyBorder="1" applyAlignment="1" applyProtection="1">
      <alignment horizontal="right"/>
    </xf>
    <xf numFmtId="3" fontId="41" fillId="0" borderId="45" xfId="0" applyNumberFormat="1" applyFont="1" applyFill="1" applyBorder="1" applyAlignment="1" applyProtection="1">
      <alignment horizontal="right"/>
    </xf>
    <xf numFmtId="3" fontId="41" fillId="0" borderId="39" xfId="0" applyNumberFormat="1" applyFont="1" applyFill="1" applyBorder="1" applyAlignment="1" applyProtection="1">
      <alignment horizontal="right"/>
    </xf>
    <xf numFmtId="164" fontId="41" fillId="0" borderId="44" xfId="0" applyNumberFormat="1" applyFont="1" applyFill="1" applyBorder="1" applyProtection="1"/>
    <xf numFmtId="164" fontId="41" fillId="0" borderId="45" xfId="0" applyNumberFormat="1" applyFont="1" applyFill="1" applyBorder="1" applyProtection="1"/>
    <xf numFmtId="164" fontId="41" fillId="0" borderId="39" xfId="0" applyNumberFormat="1" applyFont="1" applyFill="1" applyBorder="1" applyProtection="1"/>
    <xf numFmtId="3" fontId="4" fillId="4" borderId="0" xfId="0" applyNumberFormat="1" applyFont="1" applyFill="1" applyAlignment="1" applyProtection="1">
      <alignment horizontal="right"/>
    </xf>
    <xf numFmtId="3" fontId="5" fillId="4" borderId="0" xfId="0" applyNumberFormat="1" applyFont="1" applyFill="1" applyAlignment="1" applyProtection="1">
      <alignment horizontal="right"/>
    </xf>
    <xf numFmtId="3" fontId="10" fillId="4" borderId="0" xfId="0" applyNumberFormat="1" applyFont="1" applyFill="1" applyAlignment="1" applyProtection="1">
      <alignment horizontal="right"/>
    </xf>
    <xf numFmtId="3" fontId="3" fillId="2" borderId="1" xfId="0" applyNumberFormat="1" applyFont="1" applyFill="1" applyBorder="1" applyAlignment="1" applyProtection="1">
      <alignment horizontal="left" vertical="center"/>
      <protection locked="0"/>
    </xf>
    <xf numFmtId="3" fontId="36" fillId="4" borderId="0" xfId="0" applyNumberFormat="1" applyFont="1" applyFill="1" applyAlignment="1" applyProtection="1">
      <alignment horizontal="center"/>
    </xf>
    <xf numFmtId="3" fontId="16" fillId="4" borderId="0" xfId="0" applyNumberFormat="1" applyFont="1" applyFill="1" applyAlignment="1" applyProtection="1">
      <alignment vertical="center"/>
    </xf>
    <xf numFmtId="3" fontId="17" fillId="4" borderId="0" xfId="0" applyNumberFormat="1" applyFont="1" applyFill="1" applyAlignment="1" applyProtection="1">
      <alignment vertical="top"/>
    </xf>
    <xf numFmtId="3" fontId="43" fillId="0" borderId="14" xfId="0" applyNumberFormat="1" applyFont="1" applyFill="1" applyBorder="1" applyAlignment="1" applyProtection="1">
      <alignment vertical="center"/>
    </xf>
    <xf numFmtId="3" fontId="44" fillId="0" borderId="18" xfId="0" applyNumberFormat="1" applyFont="1" applyFill="1" applyBorder="1" applyAlignment="1" applyProtection="1">
      <alignment horizontal="right" vertical="center"/>
    </xf>
    <xf numFmtId="1" fontId="3" fillId="0" borderId="46" xfId="0" applyNumberFormat="1" applyFont="1" applyFill="1" applyBorder="1" applyAlignment="1" applyProtection="1">
      <alignment horizontal="center" vertical="center"/>
    </xf>
    <xf numFmtId="3" fontId="2" fillId="0" borderId="18" xfId="0" applyNumberFormat="1" applyFont="1" applyBorder="1" applyAlignment="1" applyProtection="1">
      <alignment horizontal="center" vertical="center"/>
    </xf>
    <xf numFmtId="3" fontId="2" fillId="0" borderId="18" xfId="0" applyNumberFormat="1" applyFont="1" applyBorder="1" applyAlignment="1" applyProtection="1">
      <alignment horizontal="right" vertical="center"/>
    </xf>
    <xf numFmtId="3" fontId="3" fillId="0" borderId="47" xfId="0" applyNumberFormat="1" applyFont="1" applyFill="1" applyBorder="1" applyAlignment="1" applyProtection="1">
      <alignment horizontal="left" vertical="center"/>
    </xf>
    <xf numFmtId="3" fontId="0" fillId="0" borderId="48" xfId="0" applyNumberFormat="1" applyBorder="1" applyAlignment="1" applyProtection="1">
      <alignment horizontal="left" vertical="center"/>
    </xf>
    <xf numFmtId="3" fontId="47" fillId="4" borderId="0" xfId="0" applyNumberFormat="1" applyFont="1" applyFill="1" applyAlignment="1" applyProtection="1">
      <alignment horizontal="right" vertical="center"/>
    </xf>
    <xf numFmtId="3" fontId="42" fillId="0" borderId="49" xfId="0" applyNumberFormat="1" applyFont="1" applyFill="1" applyBorder="1" applyAlignment="1" applyProtection="1">
      <alignment horizontal="center"/>
    </xf>
    <xf numFmtId="3" fontId="41" fillId="0" borderId="18" xfId="0" applyNumberFormat="1" applyFont="1" applyFill="1" applyBorder="1" applyAlignment="1" applyProtection="1">
      <alignment horizontal="left"/>
    </xf>
    <xf numFmtId="3" fontId="42" fillId="0" borderId="18" xfId="0" applyNumberFormat="1" applyFont="1" applyFill="1" applyBorder="1" applyAlignment="1" applyProtection="1">
      <alignment horizontal="center"/>
    </xf>
    <xf numFmtId="3" fontId="42" fillId="0" borderId="19" xfId="0" applyNumberFormat="1" applyFont="1" applyFill="1" applyBorder="1" applyAlignment="1" applyProtection="1">
      <alignment vertical="center"/>
    </xf>
    <xf numFmtId="3" fontId="48" fillId="4" borderId="0" xfId="0" applyNumberFormat="1" applyFont="1" applyFill="1" applyAlignment="1" applyProtection="1">
      <alignment vertical="center"/>
    </xf>
    <xf numFmtId="3" fontId="43" fillId="0" borderId="12" xfId="0" applyNumberFormat="1" applyFont="1" applyFill="1" applyBorder="1" applyAlignment="1" applyProtection="1">
      <alignment vertical="center"/>
    </xf>
    <xf numFmtId="3" fontId="2" fillId="0" borderId="0" xfId="0" applyNumberFormat="1" applyFont="1" applyBorder="1" applyAlignment="1" applyProtection="1">
      <alignment horizontal="right" vertical="center"/>
    </xf>
    <xf numFmtId="3" fontId="2" fillId="0" borderId="0" xfId="0" applyNumberFormat="1" applyFont="1" applyBorder="1" applyAlignment="1" applyProtection="1">
      <alignment horizontal="center" vertical="center"/>
    </xf>
    <xf numFmtId="3" fontId="75" fillId="0" borderId="0" xfId="0" applyNumberFormat="1" applyFont="1" applyBorder="1" applyAlignment="1" applyProtection="1">
      <alignment horizontal="right" vertical="center"/>
    </xf>
    <xf numFmtId="3" fontId="76" fillId="0" borderId="9" xfId="0" applyNumberFormat="1" applyFont="1" applyFill="1" applyBorder="1" applyAlignment="1" applyProtection="1">
      <alignment horizontal="left" vertical="center"/>
    </xf>
    <xf numFmtId="3" fontId="0" fillId="0" borderId="50" xfId="0" applyNumberFormat="1" applyBorder="1" applyAlignment="1" applyProtection="1">
      <alignment horizontal="left" vertical="center"/>
    </xf>
    <xf numFmtId="3" fontId="13" fillId="4" borderId="0" xfId="0" applyNumberFormat="1" applyFont="1" applyFill="1" applyBorder="1" applyAlignment="1" applyProtection="1">
      <alignment horizontal="right" vertical="center"/>
    </xf>
    <xf numFmtId="165" fontId="42" fillId="0" borderId="1" xfId="0" applyNumberFormat="1" applyFont="1" applyFill="1" applyBorder="1" applyProtection="1"/>
    <xf numFmtId="3" fontId="42" fillId="0" borderId="51" xfId="0" applyNumberFormat="1" applyFont="1" applyFill="1" applyBorder="1" applyProtection="1"/>
    <xf numFmtId="3" fontId="42" fillId="0" borderId="52" xfId="0" applyNumberFormat="1" applyFont="1" applyFill="1" applyBorder="1" applyAlignment="1" applyProtection="1">
      <alignment vertical="center"/>
    </xf>
    <xf numFmtId="3" fontId="44" fillId="0" borderId="0" xfId="0" applyNumberFormat="1" applyFont="1" applyFill="1" applyBorder="1" applyAlignment="1" applyProtection="1">
      <alignment horizontal="right" vertical="center"/>
    </xf>
    <xf numFmtId="168" fontId="3" fillId="0" borderId="0" xfId="0" applyNumberFormat="1" applyFont="1" applyBorder="1" applyAlignment="1" applyProtection="1">
      <alignment horizontal="right" vertical="center"/>
    </xf>
    <xf numFmtId="3" fontId="3" fillId="0" borderId="0" xfId="0" applyNumberFormat="1" applyFont="1" applyBorder="1" applyAlignment="1" applyProtection="1">
      <alignment horizontal="left" vertical="center"/>
    </xf>
    <xf numFmtId="3" fontId="43" fillId="0" borderId="15" xfId="0" applyNumberFormat="1" applyFont="1" applyFill="1" applyBorder="1" applyAlignment="1" applyProtection="1">
      <alignment vertical="center"/>
    </xf>
    <xf numFmtId="3" fontId="44" fillId="0" borderId="16" xfId="0" applyNumberFormat="1" applyFont="1" applyFill="1" applyBorder="1" applyAlignment="1" applyProtection="1">
      <alignment horizontal="right" vertical="center"/>
    </xf>
    <xf numFmtId="165" fontId="3" fillId="0" borderId="16" xfId="0" applyNumberFormat="1" applyFont="1" applyBorder="1" applyAlignment="1" applyProtection="1">
      <alignment horizontal="right" vertical="center"/>
    </xf>
    <xf numFmtId="3" fontId="42" fillId="0" borderId="16" xfId="0" applyNumberFormat="1" applyFont="1" applyFill="1" applyBorder="1" applyAlignment="1" applyProtection="1">
      <alignment horizontal="left" vertical="center"/>
    </xf>
    <xf numFmtId="3" fontId="2" fillId="0" borderId="16" xfId="0" applyNumberFormat="1" applyFont="1" applyBorder="1" applyAlignment="1" applyProtection="1">
      <alignment horizontal="right" vertical="center"/>
    </xf>
    <xf numFmtId="3" fontId="3" fillId="0" borderId="27" xfId="0" applyNumberFormat="1" applyFont="1" applyFill="1" applyBorder="1" applyAlignment="1" applyProtection="1">
      <alignment horizontal="left" vertical="center"/>
    </xf>
    <xf numFmtId="3" fontId="0" fillId="0" borderId="53" xfId="0" applyNumberFormat="1" applyBorder="1" applyAlignment="1" applyProtection="1">
      <alignment horizontal="left" vertical="center"/>
    </xf>
    <xf numFmtId="165" fontId="42" fillId="0" borderId="54" xfId="0" applyNumberFormat="1" applyFont="1" applyFill="1" applyBorder="1" applyProtection="1"/>
    <xf numFmtId="3" fontId="42" fillId="0" borderId="16" xfId="0" applyNumberFormat="1" applyFont="1" applyFill="1" applyBorder="1" applyProtection="1"/>
    <xf numFmtId="3" fontId="42" fillId="0" borderId="17" xfId="0" applyNumberFormat="1" applyFont="1" applyFill="1" applyBorder="1" applyAlignment="1" applyProtection="1">
      <alignment vertical="center"/>
    </xf>
    <xf numFmtId="3" fontId="1" fillId="4" borderId="0" xfId="0" applyNumberFormat="1" applyFont="1" applyFill="1" applyAlignment="1" applyProtection="1">
      <alignment horizontal="center" vertical="center"/>
    </xf>
    <xf numFmtId="3" fontId="18" fillId="4" borderId="0" xfId="0" applyNumberFormat="1" applyFont="1" applyFill="1" applyBorder="1" applyAlignment="1" applyProtection="1">
      <alignment vertical="center"/>
    </xf>
    <xf numFmtId="3" fontId="3" fillId="4" borderId="0" xfId="0" applyNumberFormat="1" applyFont="1" applyFill="1" applyBorder="1" applyAlignment="1" applyProtection="1">
      <alignment horizontal="left" vertical="center"/>
    </xf>
    <xf numFmtId="3" fontId="17" fillId="4" borderId="0" xfId="0" applyNumberFormat="1" applyFont="1" applyFill="1" applyAlignment="1" applyProtection="1">
      <alignment vertical="center"/>
    </xf>
    <xf numFmtId="0" fontId="37" fillId="4" borderId="0" xfId="0" applyNumberFormat="1" applyFont="1" applyFill="1" applyAlignment="1" applyProtection="1">
      <alignment horizontal="left" vertical="center"/>
    </xf>
    <xf numFmtId="0" fontId="4" fillId="4" borderId="0" xfId="0" applyNumberFormat="1" applyFont="1" applyFill="1" applyAlignment="1" applyProtection="1">
      <alignment horizontal="left" vertical="center"/>
    </xf>
    <xf numFmtId="0" fontId="5" fillId="4" borderId="0" xfId="0" applyNumberFormat="1" applyFont="1" applyFill="1" applyAlignment="1" applyProtection="1">
      <alignment horizontal="left" vertical="center"/>
    </xf>
    <xf numFmtId="0" fontId="10" fillId="4" borderId="0" xfId="0" applyNumberFormat="1" applyFont="1" applyFill="1" applyAlignment="1" applyProtection="1">
      <alignment horizontal="left" vertical="center"/>
    </xf>
    <xf numFmtId="0" fontId="22" fillId="4" borderId="1" xfId="0" applyNumberFormat="1" applyFont="1" applyFill="1" applyBorder="1" applyAlignment="1" applyProtection="1">
      <alignment horizontal="left" vertical="center" wrapText="1"/>
    </xf>
    <xf numFmtId="0" fontId="55" fillId="4" borderId="1" xfId="0" applyNumberFormat="1" applyFont="1" applyFill="1" applyBorder="1" applyAlignment="1" applyProtection="1">
      <alignment horizontal="left" vertical="center"/>
    </xf>
    <xf numFmtId="3" fontId="38" fillId="4" borderId="0" xfId="0" applyNumberFormat="1" applyFont="1" applyFill="1" applyAlignment="1" applyProtection="1">
      <alignment horizontal="center" vertical="center" wrapText="1"/>
    </xf>
    <xf numFmtId="1" fontId="52" fillId="0" borderId="12" xfId="0" applyNumberFormat="1" applyFont="1" applyFill="1" applyBorder="1" applyAlignment="1" applyProtection="1">
      <alignment horizontal="center" vertical="center" wrapText="1"/>
    </xf>
    <xf numFmtId="3" fontId="41" fillId="0" borderId="33" xfId="0" applyNumberFormat="1" applyFont="1" applyFill="1" applyBorder="1" applyAlignment="1" applyProtection="1">
      <alignment horizontal="center" vertical="center" wrapText="1"/>
    </xf>
    <xf numFmtId="3" fontId="41" fillId="0" borderId="41" xfId="0" applyNumberFormat="1" applyFont="1" applyFill="1" applyBorder="1" applyAlignment="1" applyProtection="1">
      <alignment horizontal="center" vertical="center" wrapText="1"/>
    </xf>
    <xf numFmtId="3" fontId="41" fillId="0" borderId="7" xfId="0" applyNumberFormat="1" applyFont="1" applyFill="1" applyBorder="1" applyAlignment="1" applyProtection="1">
      <alignment horizontal="center" vertical="center" wrapText="1"/>
    </xf>
    <xf numFmtId="3" fontId="41" fillId="0" borderId="8" xfId="0" applyNumberFormat="1" applyFont="1" applyFill="1" applyBorder="1" applyAlignment="1" applyProtection="1">
      <alignment horizontal="center" vertical="center" wrapText="1"/>
    </xf>
    <xf numFmtId="3" fontId="41" fillId="0" borderId="55" xfId="0" applyNumberFormat="1" applyFont="1" applyFill="1" applyBorder="1" applyAlignment="1" applyProtection="1">
      <alignment horizontal="center" vertical="center" wrapText="1"/>
    </xf>
    <xf numFmtId="3" fontId="41" fillId="0" borderId="56" xfId="0" applyNumberFormat="1" applyFont="1" applyFill="1" applyBorder="1" applyAlignment="1" applyProtection="1">
      <alignment horizontal="center" vertical="center" wrapText="1"/>
    </xf>
    <xf numFmtId="3" fontId="41" fillId="0" borderId="11" xfId="0" applyNumberFormat="1" applyFont="1" applyFill="1" applyBorder="1" applyAlignment="1" applyProtection="1">
      <alignment horizontal="center" vertical="center" wrapText="1"/>
    </xf>
    <xf numFmtId="3" fontId="22" fillId="4" borderId="1" xfId="0" applyNumberFormat="1" applyFont="1" applyFill="1" applyBorder="1" applyAlignment="1" applyProtection="1">
      <alignment horizontal="center" vertical="center" wrapText="1"/>
    </xf>
    <xf numFmtId="3" fontId="38" fillId="4" borderId="0" xfId="0" applyNumberFormat="1" applyFont="1" applyFill="1" applyAlignment="1" applyProtection="1">
      <alignment horizontal="center"/>
    </xf>
    <xf numFmtId="3" fontId="41" fillId="0" borderId="15" xfId="0" applyNumberFormat="1" applyFont="1" applyFill="1" applyBorder="1" applyAlignment="1" applyProtection="1">
      <alignment horizontal="center"/>
    </xf>
    <xf numFmtId="3" fontId="41" fillId="0" borderId="9" xfId="0" applyNumberFormat="1" applyFont="1" applyFill="1" applyBorder="1" applyAlignment="1" applyProtection="1">
      <alignment horizontal="center"/>
    </xf>
    <xf numFmtId="3" fontId="41" fillId="0" borderId="57" xfId="0" applyNumberFormat="1" applyFont="1" applyFill="1" applyBorder="1" applyAlignment="1" applyProtection="1">
      <alignment horizontal="center"/>
    </xf>
    <xf numFmtId="3" fontId="22" fillId="4" borderId="1" xfId="0" applyNumberFormat="1" applyFont="1" applyFill="1" applyBorder="1" applyAlignment="1" applyProtection="1">
      <alignment horizontal="center"/>
    </xf>
    <xf numFmtId="3" fontId="1" fillId="0" borderId="4" xfId="0" applyNumberFormat="1" applyFont="1" applyFill="1" applyBorder="1" applyProtection="1"/>
    <xf numFmtId="3" fontId="1" fillId="5" borderId="2" xfId="0" applyNumberFormat="1" applyFont="1" applyFill="1" applyBorder="1" applyProtection="1"/>
    <xf numFmtId="3" fontId="3" fillId="5" borderId="2" xfId="0" applyNumberFormat="1" applyFont="1" applyFill="1" applyBorder="1" applyAlignment="1" applyProtection="1">
      <alignment horizontal="right"/>
    </xf>
    <xf numFmtId="167" fontId="3" fillId="0" borderId="2" xfId="0" applyNumberFormat="1" applyFont="1" applyFill="1" applyBorder="1" applyAlignment="1" applyProtection="1">
      <alignment horizontal="right"/>
    </xf>
    <xf numFmtId="164" fontId="3" fillId="0" borderId="3" xfId="0" applyNumberFormat="1" applyFont="1" applyFill="1" applyBorder="1" applyAlignment="1" applyProtection="1">
      <alignment horizontal="right"/>
    </xf>
    <xf numFmtId="167" fontId="3" fillId="0" borderId="57" xfId="0" applyNumberFormat="1" applyFont="1" applyBorder="1" applyAlignment="1" applyProtection="1">
      <alignment horizontal="right"/>
    </xf>
    <xf numFmtId="167" fontId="3" fillId="0" borderId="3" xfId="0" applyNumberFormat="1" applyFont="1" applyBorder="1" applyAlignment="1" applyProtection="1">
      <alignment horizontal="right"/>
    </xf>
    <xf numFmtId="3" fontId="49" fillId="4" borderId="1" xfId="0" applyNumberFormat="1" applyFont="1" applyFill="1" applyBorder="1" applyProtection="1"/>
    <xf numFmtId="167" fontId="49" fillId="4" borderId="1" xfId="0" applyNumberFormat="1" applyFont="1" applyFill="1" applyBorder="1" applyProtection="1"/>
    <xf numFmtId="165" fontId="49" fillId="4" borderId="1" xfId="0" applyNumberFormat="1" applyFont="1" applyFill="1" applyBorder="1" applyProtection="1"/>
    <xf numFmtId="3" fontId="1" fillId="0" borderId="5" xfId="0" applyNumberFormat="1" applyFont="1" applyFill="1" applyBorder="1" applyProtection="1"/>
    <xf numFmtId="3" fontId="1" fillId="5" borderId="6" xfId="0" applyNumberFormat="1" applyFont="1" applyFill="1" applyBorder="1" applyProtection="1"/>
    <xf numFmtId="3" fontId="3" fillId="5" borderId="6" xfId="0" applyNumberFormat="1" applyFont="1" applyFill="1" applyBorder="1" applyAlignment="1" applyProtection="1">
      <alignment horizontal="right"/>
    </xf>
    <xf numFmtId="167" fontId="3" fillId="0" borderId="6" xfId="0" applyNumberFormat="1" applyFont="1" applyFill="1" applyBorder="1" applyAlignment="1" applyProtection="1">
      <alignment horizontal="right"/>
    </xf>
    <xf numFmtId="164" fontId="3" fillId="0" borderId="23" xfId="0" applyNumberFormat="1" applyFont="1" applyFill="1" applyBorder="1" applyAlignment="1" applyProtection="1">
      <alignment horizontal="right"/>
    </xf>
    <xf numFmtId="167" fontId="3" fillId="0" borderId="58" xfId="0" applyNumberFormat="1" applyFont="1" applyBorder="1" applyAlignment="1" applyProtection="1">
      <alignment horizontal="right"/>
    </xf>
    <xf numFmtId="167" fontId="3" fillId="0" borderId="23" xfId="0" applyNumberFormat="1" applyFont="1" applyBorder="1" applyAlignment="1" applyProtection="1">
      <alignment horizontal="right"/>
    </xf>
    <xf numFmtId="167" fontId="41" fillId="0" borderId="45" xfId="0" applyNumberFormat="1" applyFont="1" applyFill="1" applyBorder="1" applyAlignment="1" applyProtection="1">
      <alignment horizontal="right"/>
    </xf>
    <xf numFmtId="164" fontId="41" fillId="0" borderId="39" xfId="0" applyNumberFormat="1" applyFont="1" applyFill="1" applyBorder="1" applyAlignment="1" applyProtection="1">
      <alignment horizontal="right"/>
    </xf>
    <xf numFmtId="3" fontId="41" fillId="0" borderId="59" xfId="0" applyNumberFormat="1" applyFont="1" applyFill="1" applyBorder="1" applyAlignment="1" applyProtection="1">
      <alignment horizontal="right"/>
    </xf>
    <xf numFmtId="3" fontId="41" fillId="0" borderId="1" xfId="0" applyNumberFormat="1" applyFont="1" applyFill="1" applyBorder="1" applyAlignment="1" applyProtection="1">
      <alignment horizontal="right"/>
    </xf>
    <xf numFmtId="3" fontId="0" fillId="4" borderId="0" xfId="0" applyNumberFormat="1" applyFill="1" applyAlignment="1" applyProtection="1">
      <alignment horizontal="right"/>
    </xf>
    <xf numFmtId="3" fontId="1" fillId="4" borderId="0" xfId="0" applyNumberFormat="1" applyFont="1" applyFill="1" applyAlignment="1" applyProtection="1">
      <alignment horizontal="right"/>
    </xf>
    <xf numFmtId="3" fontId="6" fillId="4" borderId="0" xfId="0" applyNumberFormat="1" applyFont="1" applyFill="1" applyAlignment="1" applyProtection="1">
      <alignment horizontal="right"/>
    </xf>
    <xf numFmtId="3" fontId="2" fillId="4" borderId="0" xfId="0" applyNumberFormat="1" applyFont="1" applyFill="1" applyBorder="1" applyAlignment="1" applyProtection="1">
      <alignment horizontal="right"/>
    </xf>
    <xf numFmtId="3" fontId="8" fillId="4" borderId="0" xfId="0" applyNumberFormat="1" applyFont="1" applyFill="1" applyAlignment="1" applyProtection="1">
      <alignment horizontal="right"/>
    </xf>
    <xf numFmtId="3" fontId="11" fillId="4" borderId="0" xfId="0" applyNumberFormat="1" applyFont="1" applyFill="1" applyAlignment="1" applyProtection="1">
      <alignment horizontal="right"/>
    </xf>
    <xf numFmtId="3" fontId="12" fillId="4" borderId="0" xfId="0" applyNumberFormat="1" applyFont="1" applyFill="1" applyAlignment="1" applyProtection="1">
      <alignment horizontal="right"/>
    </xf>
    <xf numFmtId="3" fontId="36" fillId="4" borderId="0" xfId="0" applyNumberFormat="1" applyFont="1" applyFill="1" applyProtection="1"/>
    <xf numFmtId="3" fontId="51" fillId="4" borderId="0" xfId="0" applyNumberFormat="1" applyFont="1" applyFill="1" applyProtection="1"/>
    <xf numFmtId="3" fontId="49" fillId="4" borderId="0" xfId="0" applyNumberFormat="1" applyFont="1" applyFill="1" applyProtection="1"/>
    <xf numFmtId="1" fontId="3" fillId="0" borderId="33" xfId="0" applyNumberFormat="1" applyFont="1" applyFill="1" applyBorder="1" applyAlignment="1" applyProtection="1">
      <alignment horizontal="center" vertical="center"/>
    </xf>
    <xf numFmtId="3" fontId="0" fillId="0" borderId="48" xfId="0" applyNumberFormat="1" applyFill="1" applyBorder="1" applyAlignment="1" applyProtection="1">
      <alignment horizontal="left" vertical="center"/>
    </xf>
    <xf numFmtId="3" fontId="55" fillId="4" borderId="0" xfId="0" applyNumberFormat="1" applyFont="1" applyFill="1" applyAlignment="1" applyProtection="1">
      <alignment vertical="center"/>
    </xf>
    <xf numFmtId="3" fontId="44" fillId="0" borderId="0" xfId="0" applyNumberFormat="1" applyFont="1" applyFill="1" applyBorder="1" applyAlignment="1" applyProtection="1">
      <alignment horizontal="center" vertical="center"/>
    </xf>
    <xf numFmtId="3" fontId="0" fillId="0" borderId="50" xfId="0" applyNumberFormat="1" applyFill="1" applyBorder="1" applyAlignment="1" applyProtection="1">
      <alignment horizontal="left" vertical="center"/>
    </xf>
    <xf numFmtId="165" fontId="3" fillId="0" borderId="1" xfId="0" applyNumberFormat="1" applyFont="1" applyFill="1" applyBorder="1" applyAlignment="1" applyProtection="1">
      <alignment horizontal="right" vertical="center"/>
    </xf>
    <xf numFmtId="3" fontId="18" fillId="0" borderId="16" xfId="0" applyNumberFormat="1" applyFont="1" applyBorder="1" applyAlignment="1" applyProtection="1">
      <alignment vertical="center"/>
    </xf>
    <xf numFmtId="3" fontId="0" fillId="0" borderId="53" xfId="0" applyNumberFormat="1" applyFill="1" applyBorder="1" applyAlignment="1" applyProtection="1">
      <alignment horizontal="left" vertical="center"/>
    </xf>
    <xf numFmtId="3" fontId="37" fillId="4" borderId="0" xfId="0" applyNumberFormat="1" applyFont="1" applyFill="1" applyAlignment="1" applyProtection="1">
      <alignment vertical="center"/>
    </xf>
    <xf numFmtId="3" fontId="22" fillId="4" borderId="0" xfId="0" applyNumberFormat="1" applyFont="1" applyFill="1" applyAlignment="1" applyProtection="1">
      <alignment vertical="center"/>
    </xf>
    <xf numFmtId="3" fontId="55" fillId="4" borderId="1" xfId="0" applyNumberFormat="1" applyFont="1" applyFill="1" applyBorder="1" applyAlignment="1" applyProtection="1">
      <alignment vertical="center"/>
    </xf>
    <xf numFmtId="165" fontId="22" fillId="4" borderId="1" xfId="0" applyNumberFormat="1" applyFont="1" applyFill="1" applyBorder="1" applyAlignment="1" applyProtection="1">
      <alignment horizontal="center" vertical="center" wrapText="1"/>
    </xf>
    <xf numFmtId="1" fontId="53" fillId="0" borderId="12" xfId="0" applyNumberFormat="1" applyFont="1" applyFill="1" applyBorder="1" applyAlignment="1" applyProtection="1">
      <alignment horizontal="center" vertical="center" wrapText="1"/>
    </xf>
    <xf numFmtId="3" fontId="22" fillId="4" borderId="38" xfId="0" applyNumberFormat="1" applyFont="1" applyFill="1" applyBorder="1" applyAlignment="1" applyProtection="1">
      <alignment horizontal="center" vertical="center" wrapText="1"/>
    </xf>
    <xf numFmtId="3" fontId="22" fillId="4" borderId="0" xfId="0" applyNumberFormat="1" applyFont="1" applyFill="1" applyAlignment="1" applyProtection="1">
      <alignment horizontal="center" vertical="center" wrapText="1"/>
    </xf>
    <xf numFmtId="3" fontId="22" fillId="4" borderId="38" xfId="0" applyNumberFormat="1" applyFont="1" applyFill="1" applyBorder="1" applyAlignment="1" applyProtection="1">
      <alignment horizontal="center"/>
    </xf>
    <xf numFmtId="3" fontId="22" fillId="4" borderId="0" xfId="0" applyNumberFormat="1" applyFont="1" applyFill="1" applyAlignment="1" applyProtection="1">
      <alignment horizontal="center"/>
    </xf>
    <xf numFmtId="4" fontId="3" fillId="0" borderId="2" xfId="0" applyNumberFormat="1" applyFont="1" applyFill="1" applyBorder="1" applyAlignment="1" applyProtection="1">
      <alignment horizontal="right"/>
    </xf>
    <xf numFmtId="4" fontId="3" fillId="0" borderId="3" xfId="0" applyNumberFormat="1" applyFont="1" applyFill="1" applyBorder="1" applyAlignment="1" applyProtection="1">
      <alignment horizontal="right"/>
    </xf>
    <xf numFmtId="4" fontId="3" fillId="0" borderId="6" xfId="0" applyNumberFormat="1" applyFont="1" applyFill="1" applyBorder="1" applyAlignment="1" applyProtection="1">
      <alignment horizontal="right"/>
    </xf>
    <xf numFmtId="4" fontId="3" fillId="0" borderId="23" xfId="0" applyNumberFormat="1" applyFont="1" applyFill="1" applyBorder="1" applyAlignment="1" applyProtection="1">
      <alignment horizontal="right"/>
    </xf>
    <xf numFmtId="4" fontId="41" fillId="0" borderId="45" xfId="0" applyNumberFormat="1" applyFont="1" applyFill="1" applyBorder="1" applyAlignment="1" applyProtection="1">
      <alignment horizontal="right"/>
    </xf>
    <xf numFmtId="4" fontId="41" fillId="0" borderId="39" xfId="0" applyNumberFormat="1" applyFont="1" applyFill="1" applyBorder="1" applyAlignment="1" applyProtection="1">
      <alignment horizontal="right"/>
    </xf>
    <xf numFmtId="3" fontId="49" fillId="4" borderId="0" xfId="0" applyNumberFormat="1" applyFont="1" applyFill="1" applyAlignment="1" applyProtection="1">
      <alignment horizontal="right"/>
    </xf>
    <xf numFmtId="3" fontId="51" fillId="4" borderId="0" xfId="0" applyNumberFormat="1" applyFont="1" applyFill="1" applyAlignment="1" applyProtection="1">
      <alignment horizontal="right"/>
    </xf>
    <xf numFmtId="3" fontId="55" fillId="4" borderId="0" xfId="0" applyNumberFormat="1" applyFont="1" applyFill="1" applyAlignment="1" applyProtection="1">
      <alignment horizontal="right"/>
    </xf>
    <xf numFmtId="3" fontId="22" fillId="4" borderId="0" xfId="0" applyNumberFormat="1" applyFont="1" applyFill="1" applyAlignment="1" applyProtection="1">
      <alignment horizontal="right"/>
    </xf>
    <xf numFmtId="4" fontId="1" fillId="2" borderId="57" xfId="0" applyNumberFormat="1" applyFont="1" applyFill="1" applyBorder="1" applyProtection="1">
      <protection locked="0"/>
    </xf>
    <xf numFmtId="4" fontId="1" fillId="2" borderId="58" xfId="0" applyNumberFormat="1" applyFont="1" applyFill="1" applyBorder="1" applyProtection="1">
      <protection locked="0"/>
    </xf>
    <xf numFmtId="168" fontId="3" fillId="0" borderId="1" xfId="0" applyNumberFormat="1" applyFont="1" applyBorder="1" applyAlignment="1" applyProtection="1">
      <alignment horizontal="right" vertical="center"/>
    </xf>
    <xf numFmtId="3" fontId="47" fillId="4" borderId="0" xfId="0" applyNumberFormat="1" applyFont="1" applyFill="1" applyAlignment="1" applyProtection="1">
      <alignment vertical="center"/>
    </xf>
    <xf numFmtId="3" fontId="45" fillId="0" borderId="19" xfId="0" applyNumberFormat="1" applyFont="1" applyFill="1" applyBorder="1" applyAlignment="1" applyProtection="1">
      <alignment horizontal="left" vertical="center" wrapText="1"/>
    </xf>
    <xf numFmtId="3" fontId="22" fillId="4" borderId="1" xfId="0" applyNumberFormat="1" applyFont="1" applyFill="1" applyBorder="1" applyAlignment="1" applyProtection="1">
      <alignment vertical="center"/>
    </xf>
    <xf numFmtId="1" fontId="44" fillId="0" borderId="12" xfId="0" applyNumberFormat="1" applyFont="1" applyFill="1" applyBorder="1" applyAlignment="1" applyProtection="1">
      <alignment horizontal="center" vertical="center" wrapText="1"/>
    </xf>
    <xf numFmtId="3" fontId="41" fillId="0" borderId="40" xfId="0" applyNumberFormat="1" applyFont="1" applyFill="1" applyBorder="1" applyAlignment="1" applyProtection="1">
      <alignment horizontal="center" vertical="center" wrapText="1"/>
    </xf>
    <xf numFmtId="3" fontId="44" fillId="0" borderId="33" xfId="0" applyNumberFormat="1" applyFont="1" applyFill="1" applyBorder="1" applyAlignment="1" applyProtection="1">
      <alignment horizontal="center" vertical="center" wrapText="1"/>
    </xf>
    <xf numFmtId="3" fontId="44" fillId="0" borderId="41" xfId="0" applyNumberFormat="1" applyFont="1" applyFill="1" applyBorder="1" applyAlignment="1" applyProtection="1">
      <alignment horizontal="center" vertical="center" wrapText="1"/>
    </xf>
    <xf numFmtId="3" fontId="41" fillId="0" borderId="60" xfId="0" applyNumberFormat="1" applyFont="1" applyFill="1" applyBorder="1" applyAlignment="1" applyProtection="1">
      <alignment horizontal="center" vertical="center" wrapText="1"/>
    </xf>
    <xf numFmtId="3" fontId="44" fillId="0" borderId="61" xfId="0" applyNumberFormat="1" applyFont="1" applyFill="1" applyBorder="1" applyAlignment="1" applyProtection="1">
      <alignment horizontal="center" vertical="center" wrapText="1"/>
    </xf>
    <xf numFmtId="3" fontId="8" fillId="4" borderId="0" xfId="0" applyNumberFormat="1" applyFont="1" applyFill="1" applyAlignment="1" applyProtection="1">
      <alignment horizontal="center" vertical="center" wrapText="1"/>
    </xf>
    <xf numFmtId="3" fontId="44" fillId="0" borderId="12" xfId="0" applyNumberFormat="1" applyFont="1" applyFill="1" applyBorder="1" applyAlignment="1" applyProtection="1">
      <alignment horizontal="center"/>
    </xf>
    <xf numFmtId="3" fontId="44" fillId="0" borderId="4" xfId="0" applyNumberFormat="1" applyFont="1" applyFill="1" applyBorder="1" applyAlignment="1" applyProtection="1">
      <alignment horizontal="center"/>
    </xf>
    <xf numFmtId="3" fontId="44" fillId="0" borderId="2" xfId="0" applyNumberFormat="1" applyFont="1" applyFill="1" applyBorder="1" applyAlignment="1" applyProtection="1">
      <alignment horizontal="center"/>
    </xf>
    <xf numFmtId="3" fontId="44" fillId="0" borderId="21" xfId="0" applyNumberFormat="1" applyFont="1" applyFill="1" applyBorder="1" applyAlignment="1" applyProtection="1">
      <alignment horizontal="center"/>
    </xf>
    <xf numFmtId="3" fontId="44" fillId="0" borderId="57" xfId="0" applyNumberFormat="1" applyFont="1" applyFill="1" applyBorder="1" applyAlignment="1" applyProtection="1">
      <alignment horizontal="center"/>
    </xf>
    <xf numFmtId="3" fontId="44" fillId="0" borderId="3" xfId="0" applyNumberFormat="1" applyFont="1" applyFill="1" applyBorder="1" applyAlignment="1" applyProtection="1">
      <alignment horizontal="center"/>
    </xf>
    <xf numFmtId="3" fontId="13" fillId="4" borderId="1" xfId="0" applyNumberFormat="1" applyFont="1" applyFill="1" applyBorder="1" applyAlignment="1" applyProtection="1">
      <alignment horizontal="center"/>
    </xf>
    <xf numFmtId="3" fontId="44" fillId="0" borderId="42" xfId="0" applyNumberFormat="1" applyFont="1" applyFill="1" applyBorder="1" applyAlignment="1" applyProtection="1">
      <alignment horizontal="center"/>
    </xf>
    <xf numFmtId="3" fontId="3" fillId="0" borderId="2" xfId="0" applyNumberFormat="1" applyFont="1" applyFill="1" applyBorder="1" applyAlignment="1" applyProtection="1">
      <alignment horizontal="right"/>
    </xf>
    <xf numFmtId="164" fontId="3" fillId="0" borderId="2" xfId="0" applyNumberFormat="1" applyFont="1" applyFill="1" applyBorder="1" applyAlignment="1" applyProtection="1">
      <alignment horizontal="right"/>
    </xf>
    <xf numFmtId="167" fontId="3" fillId="0" borderId="3" xfId="0" applyNumberFormat="1" applyFont="1" applyFill="1" applyBorder="1" applyAlignment="1" applyProtection="1">
      <alignment horizontal="right"/>
    </xf>
    <xf numFmtId="167" fontId="1" fillId="0" borderId="3" xfId="0" applyNumberFormat="1" applyFont="1" applyFill="1" applyBorder="1" applyProtection="1"/>
    <xf numFmtId="3" fontId="48" fillId="4" borderId="1" xfId="0" applyNumberFormat="1" applyFont="1" applyFill="1" applyBorder="1" applyProtection="1"/>
    <xf numFmtId="3" fontId="51" fillId="4" borderId="1" xfId="0" applyNumberFormat="1" applyFont="1" applyFill="1" applyBorder="1" applyProtection="1"/>
    <xf numFmtId="3" fontId="7" fillId="4" borderId="0" xfId="0" applyNumberFormat="1" applyFont="1" applyFill="1" applyProtection="1"/>
    <xf numFmtId="3" fontId="44" fillId="0" borderId="43" xfId="0" applyNumberFormat="1" applyFont="1" applyFill="1" applyBorder="1" applyAlignment="1" applyProtection="1">
      <alignment horizontal="center"/>
    </xf>
    <xf numFmtId="3" fontId="3" fillId="0" borderId="6" xfId="0" applyNumberFormat="1" applyFont="1" applyFill="1" applyBorder="1" applyAlignment="1" applyProtection="1">
      <alignment horizontal="right"/>
    </xf>
    <xf numFmtId="164" fontId="3" fillId="0" borderId="6" xfId="0" applyNumberFormat="1" applyFont="1" applyFill="1" applyBorder="1" applyAlignment="1" applyProtection="1">
      <alignment horizontal="right"/>
    </xf>
    <xf numFmtId="167" fontId="3" fillId="0" borderId="23" xfId="0" applyNumberFormat="1" applyFont="1" applyFill="1" applyBorder="1" applyAlignment="1" applyProtection="1">
      <alignment horizontal="right"/>
    </xf>
    <xf numFmtId="167" fontId="1" fillId="0" borderId="23" xfId="0" applyNumberFormat="1" applyFont="1" applyFill="1" applyBorder="1" applyProtection="1"/>
    <xf numFmtId="3" fontId="44" fillId="0" borderId="14" xfId="0" applyNumberFormat="1" applyFont="1" applyFill="1" applyBorder="1" applyAlignment="1" applyProtection="1">
      <alignment horizontal="center"/>
    </xf>
    <xf numFmtId="3" fontId="44" fillId="0" borderId="62" xfId="0" applyNumberFormat="1" applyFont="1" applyFill="1" applyBorder="1" applyAlignment="1" applyProtection="1">
      <alignment horizontal="right"/>
    </xf>
    <xf numFmtId="3" fontId="44" fillId="0" borderId="46" xfId="0" applyNumberFormat="1" applyFont="1" applyFill="1" applyBorder="1" applyAlignment="1" applyProtection="1">
      <alignment horizontal="right"/>
    </xf>
    <xf numFmtId="164" fontId="44" fillId="0" borderId="46" xfId="0" applyNumberFormat="1" applyFont="1" applyFill="1" applyBorder="1" applyAlignment="1" applyProtection="1">
      <alignment horizontal="right"/>
    </xf>
    <xf numFmtId="167" fontId="44" fillId="0" borderId="45" xfId="0" applyNumberFormat="1" applyFont="1" applyFill="1" applyBorder="1" applyAlignment="1" applyProtection="1">
      <alignment horizontal="right"/>
    </xf>
    <xf numFmtId="167" fontId="44" fillId="0" borderId="39" xfId="0" applyNumberFormat="1" applyFont="1" applyFill="1" applyBorder="1" applyAlignment="1" applyProtection="1">
      <alignment horizontal="right"/>
    </xf>
    <xf numFmtId="3" fontId="44" fillId="0" borderId="45" xfId="0" applyNumberFormat="1" applyFont="1" applyFill="1" applyBorder="1" applyAlignment="1" applyProtection="1">
      <alignment horizontal="right"/>
    </xf>
    <xf numFmtId="3" fontId="44" fillId="0" borderId="44" xfId="0" applyNumberFormat="1" applyFont="1" applyFill="1" applyBorder="1" applyAlignment="1" applyProtection="1">
      <alignment horizontal="right"/>
    </xf>
    <xf numFmtId="3" fontId="44" fillId="0" borderId="1" xfId="0" applyNumberFormat="1" applyFont="1" applyFill="1" applyBorder="1" applyAlignment="1" applyProtection="1">
      <alignment horizontal="right"/>
    </xf>
    <xf numFmtId="3" fontId="44" fillId="0" borderId="39" xfId="0" applyNumberFormat="1" applyFont="1" applyFill="1" applyBorder="1" applyAlignment="1" applyProtection="1">
      <alignment horizontal="right"/>
    </xf>
    <xf numFmtId="3" fontId="11" fillId="4" borderId="0" xfId="0" applyNumberFormat="1" applyFont="1" applyFill="1" applyProtection="1"/>
    <xf numFmtId="3" fontId="12" fillId="4" borderId="0" xfId="0" applyNumberFormat="1" applyFont="1" applyFill="1" applyProtection="1"/>
    <xf numFmtId="3" fontId="24" fillId="4" borderId="0" xfId="0" applyNumberFormat="1" applyFont="1" applyFill="1" applyAlignment="1" applyProtection="1">
      <alignment horizontal="center"/>
    </xf>
    <xf numFmtId="3" fontId="2" fillId="2" borderId="1" xfId="0" applyNumberFormat="1" applyFont="1" applyFill="1" applyBorder="1" applyAlignment="1" applyProtection="1">
      <alignment horizontal="center" vertical="center"/>
      <protection locked="0"/>
    </xf>
    <xf numFmtId="3" fontId="42" fillId="0" borderId="18" xfId="0" applyNumberFormat="1" applyFont="1" applyFill="1" applyBorder="1" applyAlignment="1" applyProtection="1">
      <alignment vertical="center"/>
    </xf>
    <xf numFmtId="168" fontId="3" fillId="0" borderId="0" xfId="0" applyNumberFormat="1" applyFont="1" applyFill="1" applyBorder="1" applyAlignment="1" applyProtection="1">
      <alignment horizontal="right" vertical="center"/>
    </xf>
    <xf numFmtId="3" fontId="42" fillId="0" borderId="51" xfId="0" applyNumberFormat="1" applyFont="1" applyFill="1" applyBorder="1" applyAlignment="1" applyProtection="1">
      <alignment vertical="center"/>
    </xf>
    <xf numFmtId="3" fontId="50" fillId="4" borderId="0" xfId="0" applyNumberFormat="1" applyFont="1" applyFill="1" applyAlignment="1" applyProtection="1">
      <alignment vertical="center"/>
    </xf>
    <xf numFmtId="3" fontId="42" fillId="0" borderId="16" xfId="0" applyNumberFormat="1" applyFont="1" applyFill="1" applyBorder="1" applyAlignment="1" applyProtection="1">
      <alignment vertical="center"/>
    </xf>
    <xf numFmtId="3" fontId="1" fillId="4" borderId="63" xfId="0" applyNumberFormat="1" applyFont="1" applyFill="1" applyBorder="1" applyAlignment="1" applyProtection="1">
      <alignment vertical="center"/>
    </xf>
    <xf numFmtId="3" fontId="36" fillId="4" borderId="0" xfId="0" applyNumberFormat="1" applyFont="1" applyFill="1" applyAlignment="1" applyProtection="1">
      <alignment horizontal="left" vertical="center" wrapText="1"/>
    </xf>
    <xf numFmtId="3" fontId="40" fillId="0" borderId="19" xfId="0" applyNumberFormat="1" applyFont="1" applyFill="1" applyBorder="1" applyAlignment="1" applyProtection="1">
      <alignment horizontal="center" vertical="center" wrapText="1"/>
    </xf>
    <xf numFmtId="3" fontId="4" fillId="4" borderId="0" xfId="0" applyNumberFormat="1" applyFont="1" applyFill="1" applyAlignment="1" applyProtection="1">
      <alignment horizontal="left" vertical="center" wrapText="1"/>
    </xf>
    <xf numFmtId="3" fontId="55" fillId="4" borderId="0" xfId="0" applyNumberFormat="1" applyFont="1" applyFill="1" applyAlignment="1" applyProtection="1">
      <alignment horizontal="left" vertical="center" wrapText="1"/>
    </xf>
    <xf numFmtId="3" fontId="22" fillId="4" borderId="0" xfId="0" applyNumberFormat="1" applyFont="1" applyFill="1" applyAlignment="1" applyProtection="1">
      <alignment horizontal="left" vertical="center" wrapText="1"/>
    </xf>
    <xf numFmtId="3" fontId="51" fillId="4" borderId="1" xfId="0" applyNumberFormat="1" applyFont="1" applyFill="1" applyBorder="1" applyAlignment="1" applyProtection="1">
      <alignment horizontal="left" vertical="center" wrapText="1"/>
    </xf>
    <xf numFmtId="165" fontId="48" fillId="4" borderId="1" xfId="0" applyNumberFormat="1" applyFont="1" applyFill="1" applyBorder="1" applyAlignment="1" applyProtection="1">
      <alignment horizontal="left" vertical="center" wrapText="1"/>
    </xf>
    <xf numFmtId="1" fontId="41" fillId="0" borderId="12" xfId="0" applyNumberFormat="1" applyFont="1" applyFill="1" applyBorder="1" applyAlignment="1" applyProtection="1">
      <alignment horizontal="center" vertical="center" wrapText="1"/>
    </xf>
    <xf numFmtId="3" fontId="22" fillId="4" borderId="52" xfId="0" applyNumberFormat="1" applyFont="1" applyFill="1" applyBorder="1" applyAlignment="1" applyProtection="1">
      <alignment horizontal="center" vertical="center" wrapText="1"/>
    </xf>
    <xf numFmtId="3" fontId="41" fillId="0" borderId="64" xfId="0" applyNumberFormat="1" applyFont="1" applyFill="1" applyBorder="1" applyAlignment="1" applyProtection="1">
      <alignment horizontal="center"/>
    </xf>
    <xf numFmtId="3" fontId="41" fillId="0" borderId="26" xfId="0" applyNumberFormat="1" applyFont="1" applyFill="1" applyBorder="1" applyAlignment="1" applyProtection="1">
      <alignment horizontal="center"/>
    </xf>
    <xf numFmtId="3" fontId="41" fillId="0" borderId="37" xfId="0" applyNumberFormat="1" applyFont="1" applyFill="1" applyBorder="1" applyAlignment="1" applyProtection="1">
      <alignment horizontal="center"/>
    </xf>
    <xf numFmtId="3" fontId="41" fillId="0" borderId="35" xfId="0" applyNumberFormat="1" applyFont="1" applyFill="1" applyBorder="1" applyAlignment="1" applyProtection="1">
      <alignment horizontal="center"/>
    </xf>
    <xf numFmtId="3" fontId="41" fillId="0" borderId="36" xfId="0" applyNumberFormat="1" applyFont="1" applyFill="1" applyBorder="1" applyAlignment="1" applyProtection="1">
      <alignment horizontal="center"/>
    </xf>
    <xf numFmtId="3" fontId="49" fillId="4" borderId="1" xfId="0" applyNumberFormat="1" applyFont="1" applyFill="1" applyBorder="1" applyAlignment="1" applyProtection="1">
      <alignment horizontal="center"/>
    </xf>
    <xf numFmtId="3" fontId="22" fillId="4" borderId="52" xfId="0" applyNumberFormat="1" applyFont="1" applyFill="1" applyBorder="1" applyAlignment="1" applyProtection="1">
      <alignment horizontal="center"/>
    </xf>
    <xf numFmtId="3" fontId="1" fillId="5" borderId="7" xfId="0" applyNumberFormat="1" applyFont="1" applyFill="1" applyBorder="1" applyProtection="1"/>
    <xf numFmtId="3" fontId="3" fillId="5" borderId="8" xfId="0" applyNumberFormat="1" applyFont="1" applyFill="1" applyBorder="1" applyAlignment="1" applyProtection="1">
      <alignment horizontal="right"/>
    </xf>
    <xf numFmtId="3" fontId="3" fillId="0" borderId="8" xfId="0" applyNumberFormat="1" applyFont="1" applyBorder="1" applyAlignment="1" applyProtection="1">
      <alignment horizontal="right"/>
    </xf>
    <xf numFmtId="167" fontId="3" fillId="0" borderId="8" xfId="0" applyNumberFormat="1" applyFont="1" applyBorder="1" applyAlignment="1" applyProtection="1">
      <alignment horizontal="right"/>
    </xf>
    <xf numFmtId="164" fontId="1" fillId="0" borderId="11" xfId="0" applyNumberFormat="1" applyFont="1" applyFill="1" applyBorder="1" applyProtection="1"/>
    <xf numFmtId="3" fontId="1" fillId="0" borderId="20" xfId="0" applyNumberFormat="1" applyFont="1" applyBorder="1" applyProtection="1"/>
    <xf numFmtId="3" fontId="1" fillId="0" borderId="8" xfId="0" applyNumberFormat="1" applyFont="1" applyBorder="1" applyProtection="1"/>
    <xf numFmtId="3" fontId="1" fillId="0" borderId="11" xfId="0" applyNumberFormat="1" applyFont="1" applyBorder="1" applyProtection="1"/>
    <xf numFmtId="170" fontId="49" fillId="4" borderId="1" xfId="0" applyNumberFormat="1" applyFont="1" applyFill="1" applyBorder="1" applyProtection="1"/>
    <xf numFmtId="164" fontId="1" fillId="0" borderId="3" xfId="0" applyNumberFormat="1" applyFont="1" applyFill="1" applyBorder="1" applyProtection="1"/>
    <xf numFmtId="3" fontId="1" fillId="0" borderId="3" xfId="0" applyNumberFormat="1" applyFont="1" applyBorder="1" applyProtection="1"/>
    <xf numFmtId="3" fontId="55" fillId="4" borderId="1" xfId="0" applyNumberFormat="1" applyFont="1" applyFill="1" applyBorder="1" applyProtection="1"/>
    <xf numFmtId="164" fontId="1" fillId="0" borderId="23" xfId="0" applyNumberFormat="1" applyFont="1" applyFill="1" applyBorder="1" applyProtection="1"/>
    <xf numFmtId="3" fontId="1" fillId="0" borderId="23" xfId="0" applyNumberFormat="1" applyFont="1" applyBorder="1" applyProtection="1"/>
    <xf numFmtId="3" fontId="41" fillId="0" borderId="38" xfId="0" applyNumberFormat="1" applyFont="1" applyFill="1" applyBorder="1" applyAlignment="1" applyProtection="1">
      <alignment horizontal="right"/>
    </xf>
    <xf numFmtId="3" fontId="41" fillId="0" borderId="65" xfId="0" applyNumberFormat="1" applyFont="1" applyFill="1" applyBorder="1" applyAlignment="1" applyProtection="1">
      <alignment horizontal="right"/>
    </xf>
    <xf numFmtId="3" fontId="38" fillId="4" borderId="0" xfId="0" applyNumberFormat="1" applyFont="1" applyFill="1" applyBorder="1" applyAlignment="1" applyProtection="1">
      <alignment horizontal="right"/>
    </xf>
    <xf numFmtId="3" fontId="37" fillId="4" borderId="0" xfId="0" applyNumberFormat="1" applyFont="1" applyFill="1" applyAlignment="1" applyProtection="1">
      <alignment horizontal="right"/>
    </xf>
    <xf numFmtId="3" fontId="38" fillId="4" borderId="0" xfId="0" applyNumberFormat="1" applyFont="1" applyFill="1" applyAlignment="1" applyProtection="1">
      <alignment horizontal="right"/>
    </xf>
    <xf numFmtId="3" fontId="39" fillId="4" borderId="0" xfId="0" applyNumberFormat="1" applyFont="1" applyFill="1" applyAlignment="1" applyProtection="1">
      <alignment horizontal="right"/>
    </xf>
    <xf numFmtId="0" fontId="52" fillId="3" borderId="38" xfId="0" applyFont="1" applyFill="1" applyBorder="1" applyAlignment="1" applyProtection="1">
      <alignment horizontal="left" vertical="center"/>
      <protection locked="0"/>
    </xf>
    <xf numFmtId="0" fontId="51" fillId="3" borderId="51" xfId="0" applyFont="1" applyFill="1" applyBorder="1" applyAlignment="1" applyProtection="1">
      <alignment horizontal="left" vertical="center"/>
      <protection locked="0"/>
    </xf>
    <xf numFmtId="0" fontId="51" fillId="3" borderId="52" xfId="0" applyFont="1" applyFill="1" applyBorder="1" applyAlignment="1" applyProtection="1">
      <alignment horizontal="left" vertical="center"/>
      <protection locked="0"/>
    </xf>
    <xf numFmtId="0" fontId="59" fillId="3" borderId="1" xfId="0" applyFont="1" applyFill="1" applyBorder="1" applyAlignment="1" applyProtection="1">
      <alignment horizontal="center" vertical="center"/>
      <protection locked="0"/>
    </xf>
    <xf numFmtId="0" fontId="58" fillId="3" borderId="38" xfId="0" applyFont="1" applyFill="1" applyBorder="1" applyAlignment="1" applyProtection="1">
      <alignment horizontal="left" vertical="center"/>
      <protection locked="0"/>
    </xf>
    <xf numFmtId="0" fontId="52" fillId="3" borderId="1" xfId="0" applyFont="1" applyFill="1" applyBorder="1" applyAlignment="1" applyProtection="1">
      <alignment horizontal="center" vertical="center"/>
      <protection locked="0"/>
    </xf>
    <xf numFmtId="165" fontId="42" fillId="3" borderId="24" xfId="0" applyNumberFormat="1" applyFont="1" applyFill="1" applyBorder="1" applyProtection="1">
      <protection locked="0"/>
    </xf>
    <xf numFmtId="167" fontId="42" fillId="3" borderId="25" xfId="0" applyNumberFormat="1" applyFont="1" applyFill="1" applyBorder="1" applyAlignment="1" applyProtection="1">
      <alignment vertical="center"/>
      <protection locked="0"/>
    </xf>
    <xf numFmtId="165" fontId="42" fillId="3" borderId="66" xfId="0" applyNumberFormat="1" applyFont="1" applyFill="1" applyBorder="1" applyProtection="1">
      <protection locked="0"/>
    </xf>
    <xf numFmtId="167" fontId="42" fillId="3" borderId="67" xfId="0" applyNumberFormat="1" applyFont="1" applyFill="1" applyBorder="1" applyAlignment="1" applyProtection="1">
      <alignment vertical="center"/>
      <protection locked="0"/>
    </xf>
    <xf numFmtId="0" fontId="51" fillId="4" borderId="0" xfId="0" applyFont="1" applyFill="1" applyAlignment="1" applyProtection="1">
      <alignment horizontal="left" vertical="center"/>
    </xf>
    <xf numFmtId="0" fontId="56" fillId="4" borderId="0" xfId="0" applyFont="1" applyFill="1" applyAlignment="1" applyProtection="1">
      <alignment horizontal="left" vertical="center"/>
    </xf>
    <xf numFmtId="0" fontId="56" fillId="4" borderId="0" xfId="0" applyFont="1" applyFill="1" applyAlignment="1" applyProtection="1">
      <alignment horizontal="right" vertical="center"/>
    </xf>
    <xf numFmtId="0" fontId="57" fillId="4" borderId="0" xfId="0" applyFont="1" applyFill="1" applyAlignment="1" applyProtection="1">
      <alignment horizontal="right" vertical="center"/>
    </xf>
    <xf numFmtId="0" fontId="62" fillId="4" borderId="68" xfId="0" applyFont="1" applyFill="1" applyBorder="1" applyAlignment="1" applyProtection="1">
      <alignment horizontal="left" vertical="center"/>
    </xf>
    <xf numFmtId="0" fontId="51" fillId="4" borderId="69" xfId="0" applyFont="1" applyFill="1" applyBorder="1" applyAlignment="1" applyProtection="1">
      <alignment horizontal="left" vertical="center"/>
    </xf>
    <xf numFmtId="0" fontId="51" fillId="4" borderId="70" xfId="0" applyFont="1" applyFill="1" applyBorder="1" applyAlignment="1" applyProtection="1">
      <alignment horizontal="left" vertical="center"/>
    </xf>
    <xf numFmtId="0" fontId="61" fillId="4" borderId="68" xfId="0" applyFont="1" applyFill="1" applyBorder="1" applyAlignment="1" applyProtection="1">
      <alignment horizontal="left" vertical="center"/>
    </xf>
    <xf numFmtId="0" fontId="63" fillId="4" borderId="68" xfId="0" applyFont="1" applyFill="1" applyBorder="1" applyAlignment="1" applyProtection="1">
      <alignment horizontal="left" vertical="center"/>
    </xf>
    <xf numFmtId="0" fontId="61" fillId="4" borderId="71" xfId="0" applyFont="1" applyFill="1" applyBorder="1" applyAlignment="1" applyProtection="1">
      <alignment horizontal="left" vertical="center"/>
    </xf>
    <xf numFmtId="0" fontId="51" fillId="4" borderId="0" xfId="0" applyFont="1" applyFill="1" applyBorder="1" applyAlignment="1" applyProtection="1">
      <alignment horizontal="left" vertical="center"/>
    </xf>
    <xf numFmtId="0" fontId="51" fillId="4" borderId="72" xfId="0" applyFont="1" applyFill="1" applyBorder="1" applyAlignment="1" applyProtection="1">
      <alignment horizontal="left" vertical="center"/>
    </xf>
    <xf numFmtId="0" fontId="51" fillId="4" borderId="71" xfId="0" applyFont="1" applyFill="1" applyBorder="1" applyAlignment="1" applyProtection="1">
      <alignment horizontal="left" vertical="center"/>
    </xf>
    <xf numFmtId="0" fontId="62" fillId="4" borderId="71" xfId="0" applyFont="1" applyFill="1" applyBorder="1" applyAlignment="1" applyProtection="1">
      <alignment horizontal="left"/>
    </xf>
    <xf numFmtId="0" fontId="64" fillId="0" borderId="71" xfId="0" applyFont="1" applyFill="1" applyBorder="1" applyAlignment="1" applyProtection="1">
      <alignment horizontal="left" vertical="center"/>
    </xf>
    <xf numFmtId="0" fontId="65" fillId="0" borderId="0" xfId="0" applyFont="1" applyFill="1" applyBorder="1" applyAlignment="1" applyProtection="1">
      <alignment horizontal="left" vertical="center"/>
    </xf>
    <xf numFmtId="0" fontId="66" fillId="0" borderId="72" xfId="0" applyFont="1" applyFill="1" applyBorder="1" applyAlignment="1" applyProtection="1">
      <alignment horizontal="left" vertical="center"/>
    </xf>
    <xf numFmtId="3" fontId="41" fillId="0" borderId="73" xfId="0" applyNumberFormat="1" applyFont="1" applyFill="1" applyBorder="1" applyAlignment="1" applyProtection="1">
      <alignment horizontal="left"/>
    </xf>
    <xf numFmtId="3" fontId="42" fillId="0" borderId="74" xfId="0" applyNumberFormat="1" applyFont="1" applyFill="1" applyBorder="1" applyAlignment="1" applyProtection="1">
      <alignment vertical="center"/>
    </xf>
    <xf numFmtId="3" fontId="2" fillId="0" borderId="24" xfId="0" applyNumberFormat="1" applyFont="1" applyBorder="1" applyAlignment="1" applyProtection="1">
      <alignment horizontal="center" vertical="center"/>
    </xf>
    <xf numFmtId="3" fontId="2" fillId="0" borderId="25" xfId="0" applyNumberFormat="1" applyFont="1" applyBorder="1" applyAlignment="1" applyProtection="1">
      <alignment horizontal="center" vertical="center"/>
    </xf>
    <xf numFmtId="0" fontId="65" fillId="0" borderId="71" xfId="0" applyFont="1" applyFill="1" applyBorder="1" applyAlignment="1" applyProtection="1">
      <alignment horizontal="left" vertical="center"/>
    </xf>
    <xf numFmtId="165" fontId="42" fillId="0" borderId="24" xfId="0" applyNumberFormat="1" applyFont="1" applyFill="1" applyBorder="1" applyProtection="1"/>
    <xf numFmtId="3" fontId="48" fillId="0" borderId="75" xfId="0" applyNumberFormat="1" applyFont="1" applyFill="1" applyBorder="1" applyAlignment="1" applyProtection="1">
      <alignment vertical="center"/>
    </xf>
    <xf numFmtId="3" fontId="42" fillId="0" borderId="76" xfId="0" applyNumberFormat="1" applyFont="1" applyFill="1" applyBorder="1" applyAlignment="1" applyProtection="1">
      <alignment vertical="center"/>
    </xf>
    <xf numFmtId="0" fontId="77" fillId="4" borderId="0" xfId="0" applyFont="1" applyFill="1" applyBorder="1" applyAlignment="1" applyProtection="1">
      <alignment horizontal="left" vertical="center"/>
    </xf>
    <xf numFmtId="3" fontId="42" fillId="0" borderId="75" xfId="0" applyNumberFormat="1" applyFont="1" applyFill="1" applyBorder="1" applyAlignment="1" applyProtection="1">
      <alignment vertical="center"/>
    </xf>
    <xf numFmtId="3" fontId="41" fillId="0" borderId="25" xfId="0" applyNumberFormat="1" applyFont="1" applyFill="1" applyBorder="1" applyAlignment="1" applyProtection="1">
      <alignment horizontal="center" vertical="center"/>
    </xf>
    <xf numFmtId="3" fontId="42" fillId="0" borderId="77" xfId="0" applyNumberFormat="1" applyFont="1" applyFill="1" applyBorder="1" applyProtection="1"/>
    <xf numFmtId="0" fontId="51" fillId="4" borderId="78" xfId="0" applyFont="1" applyFill="1" applyBorder="1" applyAlignment="1" applyProtection="1">
      <alignment horizontal="left" vertical="center"/>
    </xf>
    <xf numFmtId="0" fontId="51" fillId="4" borderId="77" xfId="0" applyFont="1" applyFill="1" applyBorder="1" applyAlignment="1" applyProtection="1">
      <alignment horizontal="left" vertical="center"/>
    </xf>
    <xf numFmtId="0" fontId="51" fillId="4" borderId="79" xfId="0" applyFont="1" applyFill="1" applyBorder="1" applyAlignment="1" applyProtection="1">
      <alignment horizontal="left" vertical="center"/>
    </xf>
    <xf numFmtId="0" fontId="66" fillId="0" borderId="71" xfId="0" applyFont="1" applyFill="1" applyBorder="1" applyAlignment="1" applyProtection="1">
      <alignment horizontal="left" vertical="center"/>
    </xf>
    <xf numFmtId="0" fontId="66" fillId="0" borderId="0" xfId="0" applyFont="1" applyFill="1" applyBorder="1" applyAlignment="1" applyProtection="1">
      <alignment horizontal="left" vertical="center"/>
    </xf>
    <xf numFmtId="164" fontId="26" fillId="4" borderId="71" xfId="3" applyNumberFormat="1" applyFill="1" applyBorder="1" applyAlignment="1" applyProtection="1">
      <alignment horizontal="center" vertical="center" wrapText="1"/>
    </xf>
    <xf numFmtId="164" fontId="27" fillId="4" borderId="0" xfId="3" applyNumberFormat="1" applyFont="1" applyFill="1" applyBorder="1" applyAlignment="1" applyProtection="1">
      <alignment horizontal="center" vertical="center" wrapText="1"/>
    </xf>
    <xf numFmtId="164" fontId="26" fillId="4" borderId="0" xfId="3" applyNumberFormat="1" applyFill="1" applyBorder="1" applyAlignment="1" applyProtection="1">
      <alignment horizontal="center" vertical="center" wrapText="1"/>
    </xf>
    <xf numFmtId="164" fontId="26" fillId="4" borderId="72" xfId="3" applyNumberFormat="1" applyFill="1" applyBorder="1" applyAlignment="1" applyProtection="1">
      <alignment horizontal="center" vertical="center" wrapText="1"/>
    </xf>
    <xf numFmtId="0" fontId="66" fillId="0" borderId="78" xfId="0" applyFont="1" applyFill="1" applyBorder="1" applyAlignment="1" applyProtection="1">
      <alignment horizontal="left" vertical="center"/>
    </xf>
    <xf numFmtId="0" fontId="66" fillId="0" borderId="77" xfId="0" applyFont="1" applyFill="1" applyBorder="1" applyAlignment="1" applyProtection="1">
      <alignment horizontal="left" vertical="center"/>
    </xf>
    <xf numFmtId="0" fontId="66" fillId="0" borderId="79" xfId="0" applyFont="1" applyFill="1" applyBorder="1" applyAlignment="1" applyProtection="1">
      <alignment horizontal="left" vertical="center"/>
    </xf>
    <xf numFmtId="164" fontId="26" fillId="4" borderId="71" xfId="3" applyNumberFormat="1" applyFont="1" applyFill="1" applyBorder="1" applyAlignment="1" applyProtection="1">
      <alignment horizontal="center" vertical="center" wrapText="1"/>
    </xf>
    <xf numFmtId="1" fontId="41" fillId="2" borderId="80" xfId="0" applyNumberFormat="1" applyFont="1" applyFill="1" applyBorder="1" applyAlignment="1" applyProtection="1">
      <alignment horizontal="center" vertical="center" wrapText="1"/>
      <protection locked="0"/>
    </xf>
    <xf numFmtId="1" fontId="41" fillId="2" borderId="81" xfId="0" applyNumberFormat="1" applyFont="1" applyFill="1" applyBorder="1" applyAlignment="1" applyProtection="1">
      <alignment horizontal="center" vertical="center" wrapText="1"/>
      <protection locked="0"/>
    </xf>
    <xf numFmtId="1" fontId="41" fillId="2" borderId="82" xfId="0" applyNumberFormat="1" applyFont="1" applyFill="1" applyBorder="1" applyAlignment="1" applyProtection="1">
      <alignment horizontal="center" vertical="center" wrapText="1"/>
      <protection locked="0"/>
    </xf>
    <xf numFmtId="3" fontId="41" fillId="2" borderId="83" xfId="0" applyNumberFormat="1" applyFont="1" applyFill="1" applyBorder="1" applyAlignment="1" applyProtection="1">
      <alignment horizontal="center" vertical="center" wrapText="1"/>
      <protection locked="0"/>
    </xf>
    <xf numFmtId="3" fontId="41" fillId="2" borderId="1" xfId="0" applyNumberFormat="1" applyFont="1" applyFill="1" applyBorder="1" applyAlignment="1" applyProtection="1">
      <alignment horizontal="center" vertical="center" wrapText="1"/>
      <protection locked="0"/>
    </xf>
    <xf numFmtId="3" fontId="41" fillId="2" borderId="84" xfId="0" applyNumberFormat="1" applyFont="1" applyFill="1" applyBorder="1" applyAlignment="1" applyProtection="1">
      <alignment horizontal="center" vertical="center" wrapText="1"/>
      <protection locked="0"/>
    </xf>
    <xf numFmtId="3" fontId="41" fillId="2" borderId="83" xfId="0" applyNumberFormat="1" applyFont="1" applyFill="1" applyBorder="1" applyAlignment="1" applyProtection="1">
      <alignment horizontal="center"/>
      <protection locked="0"/>
    </xf>
    <xf numFmtId="3" fontId="41" fillId="2" borderId="1" xfId="0" applyNumberFormat="1" applyFont="1" applyFill="1" applyBorder="1" applyAlignment="1" applyProtection="1">
      <alignment horizontal="center"/>
      <protection locked="0"/>
    </xf>
    <xf numFmtId="3" fontId="41" fillId="2" borderId="84" xfId="0" applyNumberFormat="1" applyFont="1" applyFill="1" applyBorder="1" applyAlignment="1" applyProtection="1">
      <alignment horizontal="center"/>
      <protection locked="0"/>
    </xf>
    <xf numFmtId="3" fontId="42" fillId="2" borderId="83" xfId="0" applyNumberFormat="1" applyFont="1" applyFill="1" applyBorder="1" applyProtection="1">
      <protection locked="0"/>
    </xf>
    <xf numFmtId="3" fontId="42" fillId="2" borderId="1" xfId="0" applyNumberFormat="1" applyFont="1" applyFill="1" applyBorder="1" applyProtection="1">
      <protection locked="0"/>
    </xf>
    <xf numFmtId="3" fontId="41" fillId="2" borderId="85" xfId="0" applyNumberFormat="1" applyFont="1" applyFill="1" applyBorder="1" applyAlignment="1" applyProtection="1">
      <alignment horizontal="right"/>
      <protection locked="0"/>
    </xf>
    <xf numFmtId="3" fontId="41" fillId="2" borderId="86" xfId="0" applyNumberFormat="1" applyFont="1" applyFill="1" applyBorder="1" applyAlignment="1" applyProtection="1">
      <alignment horizontal="right"/>
      <protection locked="0"/>
    </xf>
    <xf numFmtId="164" fontId="18" fillId="4" borderId="0" xfId="0" applyNumberFormat="1" applyFont="1" applyFill="1" applyAlignment="1" applyProtection="1">
      <alignment vertical="center" wrapText="1"/>
    </xf>
    <xf numFmtId="3" fontId="2" fillId="4" borderId="87" xfId="0" applyNumberFormat="1" applyFont="1" applyFill="1" applyBorder="1" applyAlignment="1" applyProtection="1">
      <alignment horizontal="center"/>
    </xf>
    <xf numFmtId="3" fontId="51" fillId="4" borderId="88" xfId="0" applyNumberFormat="1" applyFont="1" applyFill="1" applyBorder="1" applyProtection="1"/>
    <xf numFmtId="3" fontId="51" fillId="4" borderId="89" xfId="0" applyNumberFormat="1" applyFont="1" applyFill="1" applyBorder="1" applyProtection="1"/>
    <xf numFmtId="3" fontId="49" fillId="4" borderId="90" xfId="0" applyNumberFormat="1" applyFont="1" applyFill="1" applyBorder="1" applyProtection="1"/>
    <xf numFmtId="3" fontId="51" fillId="4" borderId="91" xfId="0" applyNumberFormat="1" applyFont="1" applyFill="1" applyBorder="1" applyAlignment="1" applyProtection="1">
      <alignment horizontal="right"/>
    </xf>
    <xf numFmtId="3" fontId="48" fillId="4" borderId="17" xfId="0" applyNumberFormat="1" applyFont="1" applyFill="1" applyBorder="1" applyProtection="1"/>
    <xf numFmtId="3" fontId="48" fillId="4" borderId="54" xfId="0" applyNumberFormat="1" applyFont="1" applyFill="1" applyBorder="1" applyProtection="1"/>
    <xf numFmtId="3" fontId="48" fillId="4" borderId="92" xfId="0" applyNumberFormat="1" applyFont="1" applyFill="1" applyBorder="1" applyProtection="1"/>
    <xf numFmtId="3" fontId="51" fillId="4" borderId="93" xfId="0" applyNumberFormat="1" applyFont="1" applyFill="1" applyBorder="1" applyAlignment="1" applyProtection="1">
      <alignment horizontal="right"/>
    </xf>
    <xf numFmtId="3" fontId="48" fillId="4" borderId="94" xfId="0" applyNumberFormat="1" applyFont="1" applyFill="1" applyBorder="1" applyProtection="1"/>
    <xf numFmtId="3" fontId="48" fillId="4" borderId="95" xfId="0" applyNumberFormat="1" applyFont="1" applyFill="1" applyBorder="1" applyProtection="1"/>
    <xf numFmtId="3" fontId="48" fillId="4" borderId="96" xfId="0" applyNumberFormat="1" applyFont="1" applyFill="1" applyBorder="1" applyProtection="1"/>
    <xf numFmtId="3" fontId="51" fillId="4" borderId="97" xfId="0" applyNumberFormat="1" applyFont="1" applyFill="1" applyBorder="1" applyAlignment="1" applyProtection="1">
      <alignment horizontal="right"/>
    </xf>
    <xf numFmtId="3" fontId="48" fillId="4" borderId="52" xfId="0" applyNumberFormat="1" applyFont="1" applyFill="1" applyBorder="1" applyProtection="1"/>
    <xf numFmtId="3" fontId="48" fillId="4" borderId="84" xfId="0" applyNumberFormat="1" applyFont="1" applyFill="1" applyBorder="1" applyProtection="1"/>
    <xf numFmtId="3" fontId="51" fillId="4" borderId="98" xfId="0" applyNumberFormat="1" applyFont="1" applyFill="1" applyBorder="1" applyAlignment="1" applyProtection="1">
      <alignment horizontal="right"/>
    </xf>
    <xf numFmtId="3" fontId="48" fillId="4" borderId="99" xfId="0" applyNumberFormat="1" applyFont="1" applyFill="1" applyBorder="1" applyProtection="1"/>
    <xf numFmtId="3" fontId="48" fillId="4" borderId="86" xfId="0" applyNumberFormat="1" applyFont="1" applyFill="1" applyBorder="1" applyProtection="1"/>
    <xf numFmtId="3" fontId="48" fillId="4" borderId="100" xfId="0" applyNumberFormat="1" applyFont="1" applyFill="1" applyBorder="1" applyProtection="1"/>
    <xf numFmtId="3" fontId="51" fillId="4" borderId="101" xfId="0" applyNumberFormat="1" applyFont="1" applyFill="1" applyBorder="1" applyAlignment="1" applyProtection="1">
      <alignment horizontal="right"/>
    </xf>
    <xf numFmtId="3" fontId="48" fillId="4" borderId="102" xfId="0" applyNumberFormat="1" applyFont="1" applyFill="1" applyBorder="1" applyProtection="1"/>
    <xf numFmtId="3" fontId="48" fillId="4" borderId="103" xfId="0" applyNumberFormat="1" applyFont="1" applyFill="1" applyBorder="1" applyProtection="1"/>
    <xf numFmtId="3" fontId="48" fillId="4" borderId="104" xfId="0" applyNumberFormat="1" applyFont="1" applyFill="1" applyBorder="1" applyProtection="1"/>
    <xf numFmtId="3" fontId="70" fillId="4" borderId="0" xfId="0" applyNumberFormat="1" applyFont="1" applyFill="1" applyBorder="1" applyAlignment="1" applyProtection="1">
      <alignment horizontal="center"/>
    </xf>
    <xf numFmtId="164" fontId="70" fillId="4" borderId="0" xfId="0" applyNumberFormat="1" applyFont="1" applyFill="1" applyBorder="1" applyAlignment="1" applyProtection="1">
      <alignment horizontal="center"/>
    </xf>
    <xf numFmtId="164" fontId="2" fillId="0" borderId="13" xfId="0" applyNumberFormat="1" applyFont="1" applyFill="1" applyBorder="1" applyAlignment="1" applyProtection="1">
      <alignment horizontal="center"/>
    </xf>
    <xf numFmtId="164" fontId="2" fillId="0" borderId="17" xfId="0" applyNumberFormat="1" applyFont="1" applyFill="1" applyBorder="1" applyAlignment="1" applyProtection="1">
      <alignment horizontal="center"/>
    </xf>
    <xf numFmtId="3" fontId="41" fillId="2" borderId="87" xfId="0" applyNumberFormat="1" applyFont="1" applyFill="1" applyBorder="1" applyAlignment="1" applyProtection="1">
      <alignment horizontal="center" vertical="center"/>
      <protection locked="0"/>
    </xf>
    <xf numFmtId="171" fontId="41" fillId="2" borderId="42" xfId="0" applyNumberFormat="1" applyFont="1" applyFill="1" applyBorder="1" applyAlignment="1" applyProtection="1">
      <alignment horizontal="center"/>
      <protection locked="0"/>
    </xf>
    <xf numFmtId="3" fontId="61" fillId="4" borderId="0" xfId="0" applyNumberFormat="1" applyFont="1" applyFill="1" applyAlignment="1" applyProtection="1">
      <alignment horizontal="right" vertical="center"/>
    </xf>
    <xf numFmtId="3" fontId="24" fillId="0" borderId="16" xfId="0" applyNumberFormat="1" applyFont="1" applyFill="1" applyBorder="1" applyAlignment="1" applyProtection="1">
      <alignment horizontal="center"/>
    </xf>
    <xf numFmtId="4" fontId="3" fillId="5" borderId="2" xfId="0" applyNumberFormat="1" applyFont="1" applyFill="1" applyBorder="1" applyAlignment="1" applyProtection="1">
      <alignment horizontal="right"/>
    </xf>
    <xf numFmtId="3" fontId="2" fillId="4" borderId="0" xfId="0" applyNumberFormat="1" applyFont="1" applyFill="1" applyBorder="1" applyAlignment="1" applyProtection="1">
      <alignment horizontal="center"/>
    </xf>
    <xf numFmtId="3" fontId="44" fillId="0" borderId="51" xfId="0" applyNumberFormat="1" applyFont="1" applyFill="1" applyBorder="1" applyAlignment="1" applyProtection="1">
      <alignment horizontal="right" vertical="center"/>
    </xf>
    <xf numFmtId="166" fontId="78" fillId="2" borderId="28" xfId="3" applyNumberFormat="1" applyFont="1" applyFill="1" applyBorder="1" applyAlignment="1" applyProtection="1">
      <alignment horizontal="center" vertical="center" wrapText="1"/>
      <protection locked="0"/>
    </xf>
    <xf numFmtId="164" fontId="69" fillId="0" borderId="128" xfId="3" applyNumberFormat="1" applyFont="1" applyFill="1" applyBorder="1" applyAlignment="1" applyProtection="1">
      <alignment horizontal="center" vertical="center" wrapText="1"/>
    </xf>
    <xf numFmtId="164" fontId="42" fillId="2" borderId="1" xfId="0" applyNumberFormat="1" applyFont="1" applyFill="1" applyBorder="1" applyProtection="1">
      <protection locked="0"/>
    </xf>
    <xf numFmtId="164" fontId="42" fillId="2" borderId="84" xfId="0" applyNumberFormat="1" applyFont="1" applyFill="1" applyBorder="1" applyProtection="1">
      <protection locked="0"/>
    </xf>
    <xf numFmtId="164" fontId="41" fillId="2" borderId="86" xfId="0" applyNumberFormat="1" applyFont="1" applyFill="1" applyBorder="1" applyAlignment="1" applyProtection="1">
      <alignment horizontal="right"/>
      <protection locked="0"/>
    </xf>
    <xf numFmtId="164" fontId="41" fillId="2" borderId="100" xfId="0" applyNumberFormat="1" applyFont="1" applyFill="1" applyBorder="1" applyAlignment="1" applyProtection="1">
      <alignment horizontal="right"/>
      <protection locked="0"/>
    </xf>
    <xf numFmtId="164" fontId="41" fillId="2" borderId="81" xfId="0" applyNumberFormat="1" applyFont="1" applyFill="1" applyBorder="1" applyAlignment="1" applyProtection="1">
      <alignment horizontal="center" vertical="center" wrapText="1"/>
      <protection locked="0"/>
    </xf>
    <xf numFmtId="164" fontId="41" fillId="2" borderId="82" xfId="0" applyNumberFormat="1" applyFont="1" applyFill="1" applyBorder="1" applyAlignment="1" applyProtection="1">
      <alignment horizontal="center" vertical="center" wrapText="1"/>
      <protection locked="0"/>
    </xf>
    <xf numFmtId="164" fontId="41" fillId="2" borderId="1" xfId="0" applyNumberFormat="1" applyFont="1" applyFill="1" applyBorder="1" applyAlignment="1" applyProtection="1">
      <alignment horizontal="center" vertical="center" wrapText="1"/>
      <protection locked="0"/>
    </xf>
    <xf numFmtId="164" fontId="41" fillId="2" borderId="84" xfId="0" applyNumberFormat="1" applyFont="1" applyFill="1" applyBorder="1" applyAlignment="1" applyProtection="1">
      <alignment horizontal="center" vertical="center" wrapText="1"/>
      <protection locked="0"/>
    </xf>
    <xf numFmtId="164" fontId="41" fillId="2" borderId="1" xfId="0" applyNumberFormat="1" applyFont="1" applyFill="1" applyBorder="1" applyAlignment="1" applyProtection="1">
      <alignment horizontal="center"/>
      <protection locked="0"/>
    </xf>
    <xf numFmtId="164" fontId="41" fillId="2" borderId="84" xfId="0" applyNumberFormat="1" applyFont="1" applyFill="1" applyBorder="1" applyAlignment="1" applyProtection="1">
      <alignment horizontal="center"/>
      <protection locked="0"/>
    </xf>
    <xf numFmtId="171" fontId="41" fillId="2" borderId="129" xfId="0" applyNumberFormat="1" applyFont="1" applyFill="1" applyBorder="1" applyAlignment="1" applyProtection="1">
      <alignment horizontal="center"/>
      <protection locked="0"/>
    </xf>
    <xf numFmtId="169" fontId="41" fillId="2" borderId="62" xfId="0" applyNumberFormat="1" applyFont="1" applyFill="1" applyBorder="1" applyAlignment="1" applyProtection="1">
      <alignment horizontal="center" vertical="center" wrapText="1"/>
      <protection locked="0"/>
    </xf>
    <xf numFmtId="3" fontId="41" fillId="2" borderId="33" xfId="0" applyNumberFormat="1" applyFont="1" applyFill="1" applyBorder="1" applyAlignment="1" applyProtection="1">
      <alignment horizontal="center" vertical="center" wrapText="1"/>
      <protection locked="0"/>
    </xf>
    <xf numFmtId="169" fontId="41" fillId="2" borderId="40" xfId="0" applyNumberFormat="1" applyFont="1" applyFill="1" applyBorder="1" applyAlignment="1" applyProtection="1">
      <alignment horizontal="center" vertical="center" wrapText="1"/>
      <protection locked="0"/>
    </xf>
    <xf numFmtId="3" fontId="41" fillId="0" borderId="131" xfId="0" applyNumberFormat="1" applyFont="1" applyFill="1" applyBorder="1" applyAlignment="1" applyProtection="1">
      <alignment horizontal="center"/>
    </xf>
    <xf numFmtId="3" fontId="41" fillId="0" borderId="132" xfId="0" applyNumberFormat="1" applyFont="1" applyFill="1" applyBorder="1" applyAlignment="1" applyProtection="1">
      <alignment horizontal="center"/>
    </xf>
    <xf numFmtId="3" fontId="41" fillId="0" borderId="133" xfId="0" applyNumberFormat="1" applyFont="1" applyFill="1" applyBorder="1" applyAlignment="1" applyProtection="1">
      <alignment horizontal="center"/>
    </xf>
    <xf numFmtId="3" fontId="41" fillId="2" borderId="134" xfId="0" applyNumberFormat="1" applyFont="1" applyFill="1" applyBorder="1" applyAlignment="1" applyProtection="1">
      <alignment horizontal="center"/>
      <protection locked="0"/>
    </xf>
    <xf numFmtId="3" fontId="41" fillId="2" borderId="132" xfId="0" applyNumberFormat="1" applyFont="1" applyFill="1" applyBorder="1" applyAlignment="1" applyProtection="1">
      <alignment horizontal="center"/>
      <protection locked="0"/>
    </xf>
    <xf numFmtId="4" fontId="1" fillId="4" borderId="0" xfId="0" applyNumberFormat="1" applyFont="1" applyFill="1" applyProtection="1"/>
    <xf numFmtId="4" fontId="48" fillId="4" borderId="0" xfId="0" applyNumberFormat="1" applyFont="1" applyFill="1" applyAlignment="1" applyProtection="1">
      <alignment vertical="center"/>
    </xf>
    <xf numFmtId="4" fontId="36" fillId="4" borderId="0" xfId="0" applyNumberFormat="1" applyFont="1" applyFill="1" applyAlignment="1" applyProtection="1">
      <alignment horizontal="center" vertical="center"/>
    </xf>
    <xf numFmtId="4" fontId="40" fillId="0" borderId="38" xfId="0" applyNumberFormat="1" applyFont="1" applyFill="1" applyBorder="1" applyAlignment="1" applyProtection="1">
      <alignment horizontal="center" vertical="center" wrapText="1"/>
    </xf>
    <xf numFmtId="4" fontId="41" fillId="0" borderId="40" xfId="0" applyNumberFormat="1" applyFont="1" applyFill="1" applyBorder="1" applyAlignment="1" applyProtection="1">
      <alignment horizontal="center" vertical="center" wrapText="1"/>
    </xf>
    <xf numFmtId="4" fontId="41" fillId="2" borderId="131" xfId="0" applyNumberFormat="1" applyFont="1" applyFill="1" applyBorder="1" applyAlignment="1" applyProtection="1">
      <alignment horizontal="center"/>
      <protection locked="0"/>
    </xf>
    <xf numFmtId="4" fontId="41" fillId="0" borderId="131" xfId="0" applyNumberFormat="1" applyFont="1" applyFill="1" applyBorder="1" applyAlignment="1" applyProtection="1">
      <alignment horizontal="center"/>
    </xf>
    <xf numFmtId="4" fontId="1" fillId="2" borderId="4" xfId="0" applyNumberFormat="1" applyFont="1" applyFill="1" applyBorder="1" applyProtection="1">
      <protection locked="0"/>
    </xf>
    <xf numFmtId="4" fontId="1" fillId="2" borderId="5" xfId="0" applyNumberFormat="1" applyFont="1" applyFill="1" applyBorder="1" applyProtection="1">
      <protection locked="0"/>
    </xf>
    <xf numFmtId="4" fontId="41" fillId="0" borderId="44" xfId="0" applyNumberFormat="1" applyFont="1" applyFill="1" applyBorder="1" applyAlignment="1" applyProtection="1">
      <alignment horizontal="right"/>
    </xf>
    <xf numFmtId="4" fontId="2" fillId="4" borderId="0" xfId="0" applyNumberFormat="1" applyFont="1" applyFill="1" applyBorder="1" applyAlignment="1" applyProtection="1">
      <alignment horizontal="right"/>
    </xf>
    <xf numFmtId="3" fontId="1" fillId="7" borderId="8" xfId="0" applyNumberFormat="1" applyFont="1" applyFill="1" applyBorder="1" applyProtection="1"/>
    <xf numFmtId="3" fontId="3" fillId="7" borderId="8" xfId="0" applyNumberFormat="1" applyFont="1" applyFill="1" applyBorder="1" applyAlignment="1" applyProtection="1">
      <alignment horizontal="right"/>
    </xf>
    <xf numFmtId="4" fontId="3" fillId="7" borderId="8" xfId="0" applyNumberFormat="1" applyFont="1" applyFill="1" applyBorder="1" applyAlignment="1" applyProtection="1">
      <alignment horizontal="right"/>
    </xf>
    <xf numFmtId="3" fontId="1" fillId="7" borderId="7" xfId="0" applyNumberFormat="1" applyFont="1" applyFill="1" applyBorder="1" applyProtection="1"/>
    <xf numFmtId="0" fontId="40" fillId="0" borderId="1" xfId="0" applyNumberFormat="1" applyFont="1" applyFill="1" applyBorder="1" applyAlignment="1" applyProtection="1">
      <alignment horizontal="center" vertical="center" wrapText="1"/>
    </xf>
    <xf numFmtId="4" fontId="1" fillId="7" borderId="7" xfId="0" applyNumberFormat="1" applyFont="1" applyFill="1" applyBorder="1" applyProtection="1"/>
    <xf numFmtId="3" fontId="76" fillId="4" borderId="0" xfId="0" applyNumberFormat="1" applyFont="1" applyFill="1" applyAlignment="1" applyProtection="1">
      <alignment horizontal="right" vertical="center"/>
    </xf>
    <xf numFmtId="4" fontId="76" fillId="4" borderId="0" xfId="0" applyNumberFormat="1" applyFont="1" applyFill="1" applyAlignment="1" applyProtection="1">
      <alignment vertical="center"/>
    </xf>
    <xf numFmtId="0" fontId="23" fillId="0" borderId="0" xfId="0" applyFont="1"/>
    <xf numFmtId="0" fontId="0" fillId="8" borderId="0" xfId="0" applyFill="1"/>
    <xf numFmtId="0" fontId="0" fillId="7" borderId="0" xfId="0" applyFill="1"/>
    <xf numFmtId="0" fontId="79" fillId="0" borderId="0" xfId="0" applyFont="1" applyProtection="1"/>
    <xf numFmtId="0" fontId="80" fillId="0" borderId="0" xfId="0" applyFont="1" applyProtection="1"/>
    <xf numFmtId="0" fontId="81" fillId="9" borderId="0" xfId="0" applyFont="1" applyFill="1" applyProtection="1"/>
    <xf numFmtId="0" fontId="82" fillId="9" borderId="0" xfId="0" applyFont="1" applyFill="1" applyProtection="1"/>
    <xf numFmtId="0" fontId="80" fillId="0" borderId="136" xfId="0" applyFont="1" applyBorder="1" applyProtection="1"/>
    <xf numFmtId="0" fontId="80" fillId="0" borderId="137" xfId="0" applyFont="1" applyBorder="1" applyProtection="1"/>
    <xf numFmtId="0" fontId="79" fillId="0" borderId="138" xfId="0" applyFont="1" applyBorder="1" applyProtection="1"/>
    <xf numFmtId="0" fontId="80" fillId="0" borderId="139" xfId="0" applyFont="1" applyBorder="1" applyProtection="1"/>
    <xf numFmtId="0" fontId="80" fillId="0" borderId="140" xfId="0" applyFont="1" applyBorder="1" applyProtection="1"/>
    <xf numFmtId="0" fontId="80" fillId="0" borderId="141" xfId="0" applyFont="1" applyBorder="1" applyProtection="1"/>
    <xf numFmtId="0" fontId="79" fillId="0" borderId="101" xfId="0" applyFont="1" applyBorder="1" applyProtection="1"/>
    <xf numFmtId="0" fontId="79" fillId="0" borderId="142" xfId="0" applyFont="1" applyBorder="1" applyProtection="1"/>
    <xf numFmtId="0" fontId="80" fillId="0" borderId="143" xfId="0" applyFont="1" applyBorder="1" applyProtection="1"/>
    <xf numFmtId="0" fontId="80" fillId="0" borderId="144" xfId="0" applyFont="1" applyBorder="1" applyProtection="1"/>
    <xf numFmtId="0" fontId="80" fillId="0" borderId="142" xfId="0" applyFont="1" applyBorder="1" applyProtection="1"/>
    <xf numFmtId="0" fontId="79" fillId="0" borderId="144" xfId="0" applyFont="1" applyBorder="1" applyProtection="1"/>
    <xf numFmtId="0" fontId="80" fillId="10" borderId="0" xfId="0" applyFont="1" applyFill="1" applyAlignment="1" applyProtection="1">
      <alignment horizontal="left"/>
      <protection locked="0"/>
    </xf>
    <xf numFmtId="172" fontId="80" fillId="0" borderId="87" xfId="0" applyNumberFormat="1" applyFont="1" applyBorder="1" applyProtection="1"/>
    <xf numFmtId="0" fontId="79" fillId="0" borderId="87" xfId="0" applyFont="1" applyBorder="1" applyProtection="1"/>
    <xf numFmtId="0" fontId="80" fillId="0" borderId="87" xfId="0" applyFont="1" applyBorder="1" applyAlignment="1" applyProtection="1">
      <alignment wrapText="1"/>
    </xf>
    <xf numFmtId="0" fontId="79" fillId="7" borderId="145" xfId="0" applyFont="1" applyFill="1" applyBorder="1" applyProtection="1"/>
    <xf numFmtId="0" fontId="80" fillId="7" borderId="146" xfId="0" applyFont="1" applyFill="1" applyBorder="1" applyProtection="1"/>
    <xf numFmtId="0" fontId="80" fillId="7" borderId="147" xfId="0" applyFont="1" applyFill="1" applyBorder="1" applyProtection="1"/>
    <xf numFmtId="2" fontId="83" fillId="11" borderId="146" xfId="0" applyNumberFormat="1" applyFont="1" applyFill="1" applyBorder="1" applyAlignment="1" applyProtection="1">
      <alignment vertical="top" wrapText="1"/>
      <protection locked="0"/>
    </xf>
    <xf numFmtId="0" fontId="80" fillId="12" borderId="87" xfId="0" applyFont="1" applyFill="1" applyBorder="1" applyProtection="1">
      <protection locked="0"/>
    </xf>
    <xf numFmtId="2" fontId="82" fillId="9" borderId="87" xfId="0" applyNumberFormat="1" applyFont="1" applyFill="1" applyBorder="1" applyProtection="1"/>
    <xf numFmtId="0" fontId="84" fillId="0" borderId="0" xfId="0" applyFont="1" applyAlignment="1" applyProtection="1">
      <alignment horizontal="left"/>
    </xf>
    <xf numFmtId="0" fontId="84" fillId="0" borderId="0" xfId="0" applyFont="1" applyProtection="1"/>
    <xf numFmtId="0" fontId="82" fillId="9" borderId="0" xfId="0" applyFont="1" applyFill="1" applyAlignment="1" applyProtection="1">
      <alignment horizontal="left"/>
    </xf>
    <xf numFmtId="0" fontId="84" fillId="9" borderId="0" xfId="0" applyFont="1" applyFill="1" applyProtection="1"/>
    <xf numFmtId="0" fontId="80" fillId="9" borderId="0" xfId="0" applyFont="1" applyFill="1" applyProtection="1"/>
    <xf numFmtId="0" fontId="80" fillId="0" borderId="0" xfId="0" applyFont="1" applyAlignment="1" applyProtection="1">
      <alignment horizontal="left"/>
    </xf>
    <xf numFmtId="0" fontId="79" fillId="0" borderId="148" xfId="0" applyFont="1" applyBorder="1" applyProtection="1"/>
    <xf numFmtId="0" fontId="80" fillId="0" borderId="87" xfId="0" applyFont="1" applyBorder="1" applyAlignment="1" applyProtection="1">
      <alignment horizontal="left"/>
    </xf>
    <xf numFmtId="0" fontId="80" fillId="13" borderId="87" xfId="0" applyFont="1" applyFill="1" applyBorder="1" applyProtection="1">
      <protection locked="0"/>
    </xf>
    <xf numFmtId="172" fontId="80" fillId="13" borderId="87" xfId="0" applyNumberFormat="1" applyFont="1" applyFill="1" applyBorder="1" applyProtection="1">
      <protection locked="0"/>
    </xf>
    <xf numFmtId="2" fontId="80" fillId="13" borderId="87" xfId="0" applyNumberFormat="1" applyFont="1" applyFill="1" applyBorder="1" applyProtection="1">
      <protection locked="0"/>
    </xf>
    <xf numFmtId="2" fontId="80" fillId="0" borderId="87" xfId="0" applyNumberFormat="1" applyFont="1" applyBorder="1" applyProtection="1"/>
    <xf numFmtId="0" fontId="80" fillId="13" borderId="138" xfId="0" applyFont="1" applyFill="1" applyBorder="1" applyProtection="1">
      <protection locked="0"/>
    </xf>
    <xf numFmtId="172" fontId="80" fillId="13" borderId="138" xfId="0" applyNumberFormat="1" applyFont="1" applyFill="1" applyBorder="1" applyProtection="1">
      <protection locked="0"/>
    </xf>
    <xf numFmtId="2" fontId="80" fillId="13" borderId="138" xfId="0" applyNumberFormat="1" applyFont="1" applyFill="1" applyBorder="1" applyProtection="1">
      <protection locked="0"/>
    </xf>
    <xf numFmtId="0" fontId="80" fillId="7" borderId="145" xfId="0" applyFont="1" applyFill="1" applyBorder="1" applyAlignment="1" applyProtection="1">
      <alignment horizontal="left"/>
    </xf>
    <xf numFmtId="2" fontId="82" fillId="9" borderId="147" xfId="0" applyNumberFormat="1" applyFont="1" applyFill="1" applyBorder="1" applyProtection="1"/>
    <xf numFmtId="0" fontId="80" fillId="0" borderId="0" xfId="0" applyFont="1" applyFill="1" applyBorder="1" applyAlignment="1" applyProtection="1">
      <alignment horizontal="left"/>
    </xf>
    <xf numFmtId="0" fontId="80" fillId="0" borderId="0" xfId="0" applyFont="1" applyFill="1" applyBorder="1" applyProtection="1"/>
    <xf numFmtId="2" fontId="82" fillId="0" borderId="0" xfId="0" applyNumberFormat="1" applyFont="1" applyFill="1" applyBorder="1" applyProtection="1"/>
    <xf numFmtId="0" fontId="82" fillId="9" borderId="38" xfId="0" applyFont="1" applyFill="1" applyBorder="1" applyAlignment="1" applyProtection="1">
      <alignment horizontal="left"/>
    </xf>
    <xf numFmtId="0" fontId="82" fillId="9" borderId="51" xfId="0" applyFont="1" applyFill="1" applyBorder="1" applyProtection="1"/>
    <xf numFmtId="0" fontId="82" fillId="9" borderId="18" xfId="0" applyFont="1" applyFill="1" applyBorder="1" applyProtection="1"/>
    <xf numFmtId="0" fontId="82" fillId="9" borderId="19" xfId="0" applyFont="1" applyFill="1" applyBorder="1" applyProtection="1"/>
    <xf numFmtId="0" fontId="80" fillId="0" borderId="138" xfId="0" applyFont="1" applyBorder="1" applyProtection="1"/>
    <xf numFmtId="0" fontId="80" fillId="0" borderId="101" xfId="0" applyFont="1" applyBorder="1" applyProtection="1"/>
    <xf numFmtId="0" fontId="84" fillId="7" borderId="146" xfId="0" applyFont="1" applyFill="1" applyBorder="1" applyProtection="1"/>
    <xf numFmtId="0" fontId="84" fillId="7" borderId="147" xfId="0" applyFont="1" applyFill="1" applyBorder="1" applyProtection="1"/>
    <xf numFmtId="0" fontId="84" fillId="0" borderId="0" xfId="0" applyFont="1" applyFill="1" applyBorder="1" applyProtection="1"/>
    <xf numFmtId="2" fontId="79" fillId="0" borderId="0" xfId="0" applyNumberFormat="1" applyFont="1" applyProtection="1"/>
    <xf numFmtId="2" fontId="79" fillId="0" borderId="148" xfId="0" applyNumberFormat="1" applyFont="1" applyBorder="1" applyProtection="1"/>
    <xf numFmtId="2" fontId="80" fillId="7" borderId="146" xfId="0" applyNumberFormat="1" applyFont="1" applyFill="1" applyBorder="1" applyProtection="1"/>
    <xf numFmtId="2" fontId="80" fillId="0" borderId="87" xfId="0" applyNumberFormat="1" applyFont="1" applyBorder="1" applyAlignment="1" applyProtection="1">
      <alignment horizontal="left"/>
    </xf>
    <xf numFmtId="172" fontId="80" fillId="0" borderId="87" xfId="0" applyNumberFormat="1" applyFont="1" applyBorder="1" applyAlignment="1" applyProtection="1">
      <alignment horizontal="left"/>
    </xf>
    <xf numFmtId="2" fontId="80" fillId="10" borderId="87" xfId="0" applyNumberFormat="1" applyFont="1" applyFill="1" applyBorder="1" applyProtection="1">
      <protection locked="0"/>
    </xf>
    <xf numFmtId="0" fontId="80" fillId="12" borderId="87" xfId="0" applyFont="1" applyFill="1" applyBorder="1" applyAlignment="1" applyProtection="1">
      <alignment horizontal="left"/>
      <protection locked="0"/>
    </xf>
    <xf numFmtId="0" fontId="80" fillId="0" borderId="87" xfId="0" applyFont="1" applyBorder="1" applyProtection="1"/>
    <xf numFmtId="172" fontId="80" fillId="10" borderId="87" xfId="0" applyNumberFormat="1" applyFont="1" applyFill="1" applyBorder="1" applyAlignment="1" applyProtection="1">
      <alignment horizontal="left"/>
      <protection locked="0"/>
    </xf>
    <xf numFmtId="172" fontId="80" fillId="12" borderId="87" xfId="0" applyNumberFormat="1" applyFont="1" applyFill="1" applyBorder="1" applyProtection="1">
      <protection locked="0"/>
    </xf>
    <xf numFmtId="0" fontId="80" fillId="7" borderId="146" xfId="0" applyFont="1" applyFill="1" applyBorder="1" applyAlignment="1" applyProtection="1">
      <alignment horizontal="left"/>
    </xf>
    <xf numFmtId="172" fontId="80" fillId="7" borderId="146" xfId="0" applyNumberFormat="1" applyFont="1" applyFill="1" applyBorder="1" applyAlignment="1" applyProtection="1">
      <alignment horizontal="left"/>
    </xf>
    <xf numFmtId="172" fontId="80" fillId="7" borderId="146" xfId="0" applyNumberFormat="1" applyFont="1" applyFill="1" applyBorder="1" applyProtection="1"/>
    <xf numFmtId="2" fontId="80" fillId="7" borderId="147" xfId="0" applyNumberFormat="1" applyFont="1" applyFill="1" applyBorder="1" applyProtection="1"/>
    <xf numFmtId="0" fontId="80" fillId="0" borderId="0" xfId="0" applyFont="1" applyAlignment="1" applyProtection="1">
      <alignment vertical="top"/>
    </xf>
    <xf numFmtId="2" fontId="80" fillId="12" borderId="87" xfId="0" applyNumberFormat="1" applyFont="1" applyFill="1" applyBorder="1" applyProtection="1">
      <protection locked="0"/>
    </xf>
    <xf numFmtId="2" fontId="84" fillId="0" borderId="0" xfId="0" applyNumberFormat="1" applyFont="1" applyProtection="1"/>
    <xf numFmtId="2" fontId="80" fillId="0" borderId="0" xfId="0" applyNumberFormat="1" applyFont="1" applyProtection="1"/>
    <xf numFmtId="2" fontId="81" fillId="9" borderId="0" xfId="0" applyNumberFormat="1" applyFont="1" applyFill="1" applyProtection="1"/>
    <xf numFmtId="2" fontId="80" fillId="9" borderId="0" xfId="0" applyNumberFormat="1" applyFont="1" applyFill="1" applyProtection="1"/>
    <xf numFmtId="2" fontId="80" fillId="0" borderId="0" xfId="0" applyNumberFormat="1" applyFont="1" applyFill="1" applyProtection="1"/>
    <xf numFmtId="2" fontId="79" fillId="0" borderId="87" xfId="0" applyNumberFormat="1" applyFont="1" applyBorder="1" applyProtection="1"/>
    <xf numFmtId="2" fontId="79" fillId="0" borderId="87" xfId="0" applyNumberFormat="1" applyFont="1" applyBorder="1" applyAlignment="1" applyProtection="1">
      <alignment wrapText="1"/>
    </xf>
    <xf numFmtId="2" fontId="80" fillId="7" borderId="87" xfId="0" applyNumberFormat="1" applyFont="1" applyFill="1" applyBorder="1" applyProtection="1"/>
    <xf numFmtId="1" fontId="80" fillId="0" borderId="87" xfId="0" applyNumberFormat="1" applyFont="1" applyBorder="1" applyProtection="1"/>
    <xf numFmtId="2" fontId="80" fillId="14" borderId="87" xfId="0" applyNumberFormat="1" applyFont="1" applyFill="1" applyBorder="1" applyProtection="1">
      <protection locked="0"/>
    </xf>
    <xf numFmtId="3" fontId="80" fillId="0" borderId="87" xfId="0" applyNumberFormat="1" applyFont="1" applyBorder="1" applyProtection="1"/>
    <xf numFmtId="0" fontId="80" fillId="14" borderId="87" xfId="0" applyFont="1" applyFill="1" applyBorder="1" applyProtection="1">
      <protection locked="0"/>
    </xf>
    <xf numFmtId="0" fontId="85" fillId="0" borderId="87" xfId="0" applyFont="1" applyBorder="1" applyProtection="1"/>
    <xf numFmtId="0" fontId="42" fillId="14" borderId="87" xfId="0" applyFont="1" applyFill="1" applyBorder="1" applyProtection="1">
      <protection locked="0"/>
    </xf>
    <xf numFmtId="0" fontId="80" fillId="0" borderId="0" xfId="0" applyFont="1" applyAlignment="1" applyProtection="1">
      <alignment vertical="top" wrapText="1"/>
    </xf>
    <xf numFmtId="0" fontId="80" fillId="0" borderId="0" xfId="0" applyFont="1" applyAlignment="1" applyProtection="1">
      <alignment wrapText="1"/>
    </xf>
    <xf numFmtId="0" fontId="84" fillId="0" borderId="0" xfId="0" applyFont="1" applyBorder="1" applyProtection="1"/>
    <xf numFmtId="0" fontId="0" fillId="0" borderId="0" xfId="0" applyProtection="1"/>
    <xf numFmtId="0" fontId="79" fillId="7" borderId="1" xfId="0" applyFont="1" applyFill="1" applyBorder="1" applyAlignment="1" applyProtection="1"/>
    <xf numFmtId="0" fontId="80" fillId="7" borderId="138" xfId="0" applyFont="1" applyFill="1" applyBorder="1" applyProtection="1"/>
    <xf numFmtId="0" fontId="80" fillId="7" borderId="87" xfId="0" applyFont="1" applyFill="1" applyBorder="1" applyProtection="1"/>
    <xf numFmtId="0" fontId="80" fillId="0" borderId="1" xfId="0" applyFont="1" applyBorder="1" applyProtection="1"/>
    <xf numFmtId="0" fontId="80" fillId="0" borderId="1" xfId="0" applyFont="1" applyBorder="1" applyAlignment="1" applyProtection="1">
      <alignment horizontal="left"/>
    </xf>
    <xf numFmtId="0" fontId="80" fillId="7" borderId="101" xfId="0" applyFont="1" applyFill="1" applyBorder="1" applyProtection="1"/>
    <xf numFmtId="0" fontId="80" fillId="10" borderId="87" xfId="0" applyFont="1" applyFill="1" applyBorder="1" applyProtection="1">
      <protection locked="0"/>
    </xf>
    <xf numFmtId="4" fontId="80" fillId="0" borderId="87" xfId="0" applyNumberFormat="1" applyFont="1" applyBorder="1" applyProtection="1"/>
    <xf numFmtId="0" fontId="80" fillId="0" borderId="1" xfId="0" applyFont="1" applyBorder="1" applyAlignment="1" applyProtection="1">
      <alignment vertical="top" wrapText="1"/>
    </xf>
    <xf numFmtId="0" fontId="79" fillId="7" borderId="1" xfId="0" applyFont="1" applyFill="1" applyBorder="1" applyProtection="1"/>
    <xf numFmtId="0" fontId="9" fillId="0" borderId="0" xfId="2" applyAlignment="1" applyProtection="1"/>
    <xf numFmtId="0" fontId="80" fillId="0" borderId="1" xfId="0" applyFont="1" applyBorder="1" applyAlignment="1" applyProtection="1">
      <alignment wrapText="1"/>
    </xf>
    <xf numFmtId="0" fontId="65" fillId="0" borderId="77" xfId="0" applyFont="1" applyFill="1" applyBorder="1" applyAlignment="1" applyProtection="1">
      <alignment horizontal="left" vertical="center"/>
    </xf>
    <xf numFmtId="3" fontId="2" fillId="0" borderId="105" xfId="0" applyNumberFormat="1" applyFont="1" applyBorder="1" applyAlignment="1" applyProtection="1">
      <alignment horizontal="center" vertical="center"/>
    </xf>
    <xf numFmtId="3" fontId="2" fillId="0" borderId="150" xfId="0" applyNumberFormat="1" applyFont="1" applyBorder="1" applyAlignment="1" applyProtection="1">
      <alignment horizontal="center" vertical="center"/>
    </xf>
    <xf numFmtId="3" fontId="2" fillId="0" borderId="149" xfId="0" applyNumberFormat="1" applyFont="1" applyBorder="1" applyAlignment="1" applyProtection="1">
      <alignment horizontal="center" vertical="center"/>
    </xf>
    <xf numFmtId="1" fontId="41" fillId="15" borderId="80" xfId="0" applyNumberFormat="1" applyFont="1" applyFill="1" applyBorder="1" applyAlignment="1" applyProtection="1">
      <alignment horizontal="center" vertical="center" wrapText="1"/>
    </xf>
    <xf numFmtId="1" fontId="41" fillId="15" borderId="81" xfId="0" applyNumberFormat="1" applyFont="1" applyFill="1" applyBorder="1" applyAlignment="1" applyProtection="1">
      <alignment horizontal="center" vertical="center" wrapText="1"/>
    </xf>
    <xf numFmtId="1" fontId="41" fillId="15" borderId="82" xfId="0" applyNumberFormat="1" applyFont="1" applyFill="1" applyBorder="1" applyAlignment="1" applyProtection="1">
      <alignment horizontal="center" vertical="center" wrapText="1"/>
    </xf>
    <xf numFmtId="3" fontId="41" fillId="15" borderId="83" xfId="0" applyNumberFormat="1" applyFont="1" applyFill="1" applyBorder="1" applyAlignment="1" applyProtection="1">
      <alignment horizontal="center" vertical="center" wrapText="1"/>
    </xf>
    <xf numFmtId="3" fontId="41" fillId="15" borderId="1" xfId="0" applyNumberFormat="1" applyFont="1" applyFill="1" applyBorder="1" applyAlignment="1" applyProtection="1">
      <alignment horizontal="center" vertical="center" wrapText="1"/>
    </xf>
    <xf numFmtId="164" fontId="41" fillId="15" borderId="1" xfId="0" applyNumberFormat="1" applyFont="1" applyFill="1" applyBorder="1" applyAlignment="1" applyProtection="1">
      <alignment horizontal="center" vertical="center" wrapText="1"/>
    </xf>
    <xf numFmtId="164" fontId="41" fillId="15" borderId="84" xfId="0" applyNumberFormat="1" applyFont="1" applyFill="1" applyBorder="1" applyAlignment="1" applyProtection="1">
      <alignment horizontal="center" vertical="center" wrapText="1"/>
    </xf>
    <xf numFmtId="3" fontId="41" fillId="15" borderId="83" xfId="0" applyNumberFormat="1" applyFont="1" applyFill="1" applyBorder="1" applyAlignment="1" applyProtection="1">
      <alignment horizontal="center"/>
    </xf>
    <xf numFmtId="3" fontId="41" fillId="15" borderId="1" xfId="0" applyNumberFormat="1" applyFont="1" applyFill="1" applyBorder="1" applyAlignment="1" applyProtection="1">
      <alignment horizontal="center"/>
    </xf>
    <xf numFmtId="3" fontId="41" fillId="15" borderId="4" xfId="0" applyNumberFormat="1" applyFont="1" applyFill="1" applyBorder="1" applyAlignment="1" applyProtection="1">
      <alignment horizontal="center"/>
    </xf>
    <xf numFmtId="164" fontId="41" fillId="15" borderId="1" xfId="0" applyNumberFormat="1" applyFont="1" applyFill="1" applyBorder="1" applyAlignment="1" applyProtection="1">
      <alignment horizontal="center"/>
    </xf>
    <xf numFmtId="164" fontId="41" fillId="15" borderId="84" xfId="0" applyNumberFormat="1" applyFont="1" applyFill="1" applyBorder="1" applyAlignment="1" applyProtection="1">
      <alignment horizontal="center"/>
    </xf>
    <xf numFmtId="3" fontId="42" fillId="15" borderId="83" xfId="0" applyNumberFormat="1" applyFont="1" applyFill="1" applyBorder="1" applyProtection="1"/>
    <xf numFmtId="3" fontId="42" fillId="15" borderId="1" xfId="0" applyNumberFormat="1" applyFont="1" applyFill="1" applyBorder="1" applyProtection="1"/>
    <xf numFmtId="164" fontId="42" fillId="15" borderId="1" xfId="0" applyNumberFormat="1" applyFont="1" applyFill="1" applyBorder="1" applyProtection="1"/>
    <xf numFmtId="164" fontId="42" fillId="15" borderId="84" xfId="0" applyNumberFormat="1" applyFont="1" applyFill="1" applyBorder="1" applyProtection="1"/>
    <xf numFmtId="3" fontId="41" fillId="15" borderId="85" xfId="0" applyNumberFormat="1" applyFont="1" applyFill="1" applyBorder="1" applyAlignment="1" applyProtection="1">
      <alignment horizontal="right"/>
    </xf>
    <xf numFmtId="3" fontId="41" fillId="15" borderId="86" xfId="0" applyNumberFormat="1" applyFont="1" applyFill="1" applyBorder="1" applyAlignment="1" applyProtection="1">
      <alignment horizontal="right"/>
    </xf>
    <xf numFmtId="164" fontId="41" fillId="15" borderId="86" xfId="0" applyNumberFormat="1" applyFont="1" applyFill="1" applyBorder="1" applyAlignment="1" applyProtection="1">
      <alignment horizontal="right"/>
    </xf>
    <xf numFmtId="164" fontId="41" fillId="15" borderId="100" xfId="0" applyNumberFormat="1" applyFont="1" applyFill="1" applyBorder="1" applyAlignment="1" applyProtection="1">
      <alignment horizontal="right"/>
    </xf>
    <xf numFmtId="0" fontId="88" fillId="0" borderId="0" xfId="0" applyFont="1"/>
    <xf numFmtId="3" fontId="90" fillId="16" borderId="151" xfId="0" applyNumberFormat="1" applyFont="1" applyFill="1" applyBorder="1" applyProtection="1">
      <protection locked="0"/>
    </xf>
    <xf numFmtId="167" fontId="90" fillId="16" borderId="152" xfId="0" applyNumberFormat="1" applyFont="1" applyFill="1" applyBorder="1" applyProtection="1">
      <protection locked="0"/>
    </xf>
    <xf numFmtId="3" fontId="90" fillId="16" borderId="153" xfId="0" applyNumberFormat="1" applyFont="1" applyFill="1" applyBorder="1" applyProtection="1">
      <protection locked="0"/>
    </xf>
    <xf numFmtId="3" fontId="90" fillId="16" borderId="154" xfId="0" applyNumberFormat="1" applyFont="1" applyFill="1" applyBorder="1" applyProtection="1">
      <protection locked="0"/>
    </xf>
    <xf numFmtId="3" fontId="90" fillId="16" borderId="155" xfId="0" applyNumberFormat="1" applyFont="1" applyFill="1" applyBorder="1" applyAlignment="1" applyProtection="1">
      <alignment vertical="center"/>
      <protection locked="0"/>
    </xf>
    <xf numFmtId="4" fontId="90" fillId="16" borderId="156" xfId="0" applyNumberFormat="1" applyFont="1" applyFill="1" applyBorder="1" applyAlignment="1" applyProtection="1">
      <alignment vertical="center"/>
      <protection locked="0"/>
    </xf>
    <xf numFmtId="3" fontId="90" fillId="16" borderId="157" xfId="0" applyNumberFormat="1" applyFont="1" applyFill="1" applyBorder="1" applyAlignment="1" applyProtection="1">
      <alignment vertical="center"/>
      <protection locked="0"/>
    </xf>
    <xf numFmtId="165" fontId="91" fillId="17" borderId="158" xfId="0" applyNumberFormat="1" applyFont="1" applyFill="1" applyBorder="1" applyProtection="1">
      <protection locked="0"/>
    </xf>
    <xf numFmtId="165" fontId="91" fillId="17" borderId="159" xfId="0" applyNumberFormat="1" applyFont="1" applyFill="1" applyBorder="1" applyProtection="1">
      <protection locked="0"/>
    </xf>
    <xf numFmtId="3" fontId="90" fillId="17" borderId="159" xfId="0" applyNumberFormat="1" applyFont="1" applyFill="1" applyBorder="1" applyAlignment="1" applyProtection="1">
      <alignment horizontal="center" vertical="center"/>
      <protection locked="0"/>
    </xf>
    <xf numFmtId="3" fontId="92" fillId="17" borderId="160" xfId="0" applyNumberFormat="1" applyFont="1" applyFill="1" applyBorder="1" applyAlignment="1" applyProtection="1">
      <alignment horizontal="center" vertical="center"/>
      <protection locked="0"/>
    </xf>
    <xf numFmtId="0" fontId="90" fillId="17" borderId="161" xfId="0" applyFont="1" applyFill="1" applyBorder="1" applyAlignment="1" applyProtection="1">
      <alignment horizontal="center" vertical="center"/>
      <protection locked="0"/>
    </xf>
    <xf numFmtId="3" fontId="90" fillId="16" borderId="162" xfId="0" applyNumberFormat="1" applyFont="1" applyFill="1" applyBorder="1" applyProtection="1">
      <protection locked="0"/>
    </xf>
    <xf numFmtId="3" fontId="90" fillId="16" borderId="163" xfId="0" applyNumberFormat="1" applyFont="1" applyFill="1" applyBorder="1" applyProtection="1">
      <protection locked="0"/>
    </xf>
    <xf numFmtId="3" fontId="90" fillId="16" borderId="164" xfId="0" applyNumberFormat="1" applyFont="1" applyFill="1" applyBorder="1" applyProtection="1">
      <protection locked="0"/>
    </xf>
    <xf numFmtId="4" fontId="90" fillId="16" borderId="165" xfId="0" applyNumberFormat="1" applyFont="1" applyFill="1" applyBorder="1" applyProtection="1">
      <protection locked="0"/>
    </xf>
    <xf numFmtId="3" fontId="90" fillId="16" borderId="160" xfId="0" applyNumberFormat="1" applyFont="1" applyFill="1" applyBorder="1" applyAlignment="1" applyProtection="1">
      <alignment vertical="center"/>
      <protection locked="0"/>
    </xf>
    <xf numFmtId="173" fontId="93" fillId="16" borderId="169" xfId="0" applyNumberFormat="1" applyFont="1" applyFill="1" applyBorder="1" applyAlignment="1" applyProtection="1">
      <alignment horizontal="center" vertical="center" wrapText="1"/>
      <protection locked="0"/>
    </xf>
    <xf numFmtId="164" fontId="94" fillId="16" borderId="169" xfId="0" applyNumberFormat="1" applyFont="1" applyFill="1" applyBorder="1" applyAlignment="1" applyProtection="1">
      <alignment horizontal="center" vertical="center" wrapText="1"/>
      <protection locked="0"/>
    </xf>
    <xf numFmtId="167" fontId="94" fillId="16" borderId="169" xfId="0" applyNumberFormat="1" applyFont="1" applyFill="1" applyBorder="1" applyAlignment="1" applyProtection="1">
      <alignment horizontal="center" vertical="center" wrapText="1"/>
      <protection locked="0"/>
    </xf>
    <xf numFmtId="3" fontId="94" fillId="16" borderId="169" xfId="0" applyNumberFormat="1" applyFont="1" applyFill="1" applyBorder="1" applyAlignment="1" applyProtection="1">
      <alignment horizontal="center" vertical="center" wrapText="1"/>
      <protection locked="0"/>
    </xf>
    <xf numFmtId="164" fontId="26" fillId="3" borderId="105" xfId="3" applyNumberFormat="1" applyFont="1" applyFill="1" applyBorder="1" applyAlignment="1" applyProtection="1">
      <alignment horizontal="center" vertical="center" wrapText="1"/>
    </xf>
    <xf numFmtId="164" fontId="26" fillId="3" borderId="51" xfId="3" applyNumberFormat="1" applyFont="1" applyFill="1" applyBorder="1" applyAlignment="1" applyProtection="1">
      <alignment horizontal="center" vertical="center" wrapText="1"/>
    </xf>
    <xf numFmtId="164" fontId="26" fillId="3" borderId="75" xfId="3" applyNumberFormat="1" applyFont="1" applyFill="1" applyBorder="1" applyAlignment="1" applyProtection="1">
      <alignment horizontal="center" vertical="center" wrapText="1"/>
    </xf>
    <xf numFmtId="164" fontId="26" fillId="2" borderId="105" xfId="3" applyNumberFormat="1" applyFont="1" applyFill="1" applyBorder="1" applyAlignment="1" applyProtection="1">
      <alignment horizontal="center" vertical="center" wrapText="1"/>
    </xf>
    <xf numFmtId="164" fontId="26" fillId="2" borderId="51" xfId="3" applyNumberFormat="1" applyFont="1" applyFill="1" applyBorder="1" applyAlignment="1" applyProtection="1">
      <alignment horizontal="center" vertical="center" wrapText="1"/>
    </xf>
    <xf numFmtId="164" fontId="26" fillId="2" borderId="75" xfId="3" applyNumberFormat="1" applyFont="1" applyFill="1" applyBorder="1" applyAlignment="1" applyProtection="1">
      <alignment horizontal="center" vertical="center" wrapText="1"/>
    </xf>
    <xf numFmtId="164" fontId="26" fillId="5" borderId="105" xfId="3" applyNumberFormat="1" applyFont="1" applyFill="1" applyBorder="1" applyAlignment="1" applyProtection="1">
      <alignment horizontal="center" vertical="center" wrapText="1"/>
    </xf>
    <xf numFmtId="164" fontId="26" fillId="5" borderId="51" xfId="3" applyNumberFormat="1" applyFont="1" applyFill="1" applyBorder="1" applyAlignment="1" applyProtection="1">
      <alignment horizontal="center" vertical="center" wrapText="1"/>
    </xf>
    <xf numFmtId="164" fontId="26" fillId="5" borderId="75" xfId="3" applyNumberFormat="1" applyFont="1" applyFill="1" applyBorder="1" applyAlignment="1" applyProtection="1">
      <alignment horizontal="center" vertical="center" wrapText="1"/>
    </xf>
    <xf numFmtId="164" fontId="60" fillId="4" borderId="105" xfId="3" applyNumberFormat="1" applyFont="1" applyFill="1" applyBorder="1" applyAlignment="1" applyProtection="1">
      <alignment horizontal="center" vertical="center" wrapText="1"/>
    </xf>
    <xf numFmtId="164" fontId="60" fillId="4" borderId="51" xfId="3" applyNumberFormat="1" applyFont="1" applyFill="1" applyBorder="1" applyAlignment="1" applyProtection="1">
      <alignment horizontal="center" vertical="center" wrapText="1"/>
    </xf>
    <xf numFmtId="164" fontId="60" fillId="4" borderId="75" xfId="3" applyNumberFormat="1" applyFont="1" applyFill="1" applyBorder="1" applyAlignment="1" applyProtection="1">
      <alignment horizontal="center" vertical="center" wrapText="1"/>
    </xf>
    <xf numFmtId="164" fontId="34" fillId="0" borderId="105" xfId="3" applyNumberFormat="1" applyFont="1" applyFill="1" applyBorder="1" applyAlignment="1" applyProtection="1">
      <alignment horizontal="center" vertical="center" wrapText="1"/>
    </xf>
    <xf numFmtId="164" fontId="26" fillId="0" borderId="51" xfId="3" applyNumberFormat="1" applyFill="1" applyBorder="1" applyAlignment="1" applyProtection="1">
      <alignment horizontal="center" vertical="center" wrapText="1"/>
    </xf>
    <xf numFmtId="164" fontId="26" fillId="0" borderId="75" xfId="3" applyNumberFormat="1" applyFill="1" applyBorder="1" applyAlignment="1" applyProtection="1">
      <alignment horizontal="center" vertical="center" wrapText="1"/>
    </xf>
    <xf numFmtId="3" fontId="68" fillId="0" borderId="12" xfId="2" applyNumberFormat="1" applyFont="1" applyFill="1" applyBorder="1" applyAlignment="1" applyProtection="1">
      <alignment horizontal="center"/>
    </xf>
    <xf numFmtId="3" fontId="68" fillId="0" borderId="0" xfId="2" applyNumberFormat="1" applyFont="1" applyFill="1" applyBorder="1" applyAlignment="1" applyProtection="1">
      <alignment horizontal="center"/>
    </xf>
    <xf numFmtId="3" fontId="68" fillId="0" borderId="13" xfId="2" applyNumberFormat="1" applyFont="1" applyFill="1" applyBorder="1" applyAlignment="1" applyProtection="1">
      <alignment horizontal="center"/>
    </xf>
    <xf numFmtId="0" fontId="68" fillId="0" borderId="12" xfId="2" applyFont="1" applyFill="1" applyBorder="1" applyAlignment="1" applyProtection="1">
      <alignment horizontal="center"/>
    </xf>
    <xf numFmtId="0" fontId="68" fillId="0" borderId="0" xfId="2" applyFont="1" applyFill="1" applyBorder="1" applyAlignment="1" applyProtection="1">
      <alignment horizontal="center"/>
    </xf>
    <xf numFmtId="0" fontId="68" fillId="0" borderId="13" xfId="2" applyFont="1" applyFill="1" applyBorder="1" applyAlignment="1" applyProtection="1">
      <alignment horizontal="center"/>
    </xf>
    <xf numFmtId="3" fontId="40" fillId="0" borderId="38" xfId="0" applyNumberFormat="1" applyFont="1" applyFill="1" applyBorder="1" applyAlignment="1" applyProtection="1">
      <alignment horizontal="center" vertical="center" wrapText="1"/>
    </xf>
    <xf numFmtId="3" fontId="40" fillId="0" borderId="51" xfId="0" applyNumberFormat="1" applyFont="1" applyFill="1" applyBorder="1" applyAlignment="1" applyProtection="1">
      <alignment horizontal="center" vertical="center" wrapText="1"/>
    </xf>
    <xf numFmtId="3" fontId="40" fillId="0" borderId="52" xfId="0" applyNumberFormat="1" applyFont="1" applyFill="1" applyBorder="1" applyAlignment="1" applyProtection="1">
      <alignment horizontal="center" vertical="center" wrapText="1"/>
    </xf>
    <xf numFmtId="3" fontId="40" fillId="0" borderId="14" xfId="0" applyNumberFormat="1" applyFont="1" applyFill="1" applyBorder="1" applyAlignment="1" applyProtection="1">
      <alignment horizontal="center" vertical="center" wrapText="1"/>
    </xf>
    <xf numFmtId="3" fontId="40" fillId="0" borderId="18" xfId="0" applyNumberFormat="1" applyFont="1" applyFill="1" applyBorder="1" applyAlignment="1" applyProtection="1">
      <alignment horizontal="center" vertical="center" wrapText="1"/>
    </xf>
    <xf numFmtId="3" fontId="40" fillId="0" borderId="19" xfId="0" applyNumberFormat="1" applyFont="1" applyFill="1" applyBorder="1" applyAlignment="1" applyProtection="1">
      <alignment horizontal="center" vertical="center" wrapText="1"/>
    </xf>
    <xf numFmtId="3" fontId="45" fillId="0" borderId="14" xfId="0" applyNumberFormat="1" applyFont="1" applyFill="1" applyBorder="1" applyAlignment="1" applyProtection="1">
      <alignment horizontal="center" vertical="center" wrapText="1"/>
    </xf>
    <xf numFmtId="3" fontId="45" fillId="0" borderId="18" xfId="0" applyNumberFormat="1" applyFont="1" applyFill="1" applyBorder="1" applyAlignment="1" applyProtection="1">
      <alignment horizontal="center" vertical="center" wrapText="1"/>
    </xf>
    <xf numFmtId="3" fontId="45" fillId="0" borderId="19" xfId="0" applyNumberFormat="1" applyFont="1" applyFill="1" applyBorder="1" applyAlignment="1" applyProtection="1">
      <alignment horizontal="center" vertical="center" wrapText="1"/>
    </xf>
    <xf numFmtId="3" fontId="45" fillId="0" borderId="38" xfId="0" applyNumberFormat="1" applyFont="1" applyFill="1" applyBorder="1" applyAlignment="1" applyProtection="1">
      <alignment horizontal="center" vertical="center" wrapText="1"/>
    </xf>
    <xf numFmtId="3" fontId="45" fillId="0" borderId="51" xfId="0" applyNumberFormat="1" applyFont="1" applyFill="1" applyBorder="1" applyAlignment="1" applyProtection="1">
      <alignment horizontal="center" vertical="center" wrapText="1"/>
    </xf>
    <xf numFmtId="3" fontId="45" fillId="0" borderId="52" xfId="0" applyNumberFormat="1" applyFont="1" applyFill="1" applyBorder="1" applyAlignment="1" applyProtection="1">
      <alignment horizontal="center" vertical="center" wrapText="1"/>
    </xf>
    <xf numFmtId="3" fontId="40" fillId="0" borderId="14" xfId="0" applyNumberFormat="1" applyFont="1" applyFill="1" applyBorder="1" applyAlignment="1" applyProtection="1">
      <alignment horizontal="left" vertical="center" wrapText="1"/>
    </xf>
    <xf numFmtId="3" fontId="40" fillId="0" borderId="18" xfId="0" applyNumberFormat="1" applyFont="1" applyFill="1" applyBorder="1" applyAlignment="1" applyProtection="1">
      <alignment horizontal="left" vertical="center" wrapText="1"/>
    </xf>
    <xf numFmtId="3" fontId="40" fillId="0" borderId="19" xfId="0" applyNumberFormat="1" applyFont="1" applyFill="1" applyBorder="1" applyAlignment="1" applyProtection="1">
      <alignment horizontal="left" vertical="center" wrapText="1"/>
    </xf>
    <xf numFmtId="3" fontId="41" fillId="0" borderId="135" xfId="0" applyNumberFormat="1" applyFont="1" applyFill="1" applyBorder="1" applyAlignment="1" applyProtection="1">
      <alignment horizontal="center" vertical="center" wrapText="1"/>
    </xf>
    <xf numFmtId="3" fontId="41" fillId="0" borderId="60" xfId="0" applyNumberFormat="1" applyFont="1" applyFill="1" applyBorder="1" applyAlignment="1" applyProtection="1">
      <alignment horizontal="center" vertical="center" wrapText="1"/>
    </xf>
    <xf numFmtId="3" fontId="41" fillId="0" borderId="47" xfId="0" applyNumberFormat="1" applyFont="1" applyFill="1" applyBorder="1" applyAlignment="1" applyProtection="1">
      <alignment horizontal="center" vertical="center" wrapText="1"/>
    </xf>
    <xf numFmtId="0" fontId="40" fillId="0" borderId="38" xfId="0" applyNumberFormat="1" applyFont="1" applyFill="1" applyBorder="1" applyAlignment="1" applyProtection="1">
      <alignment horizontal="center" vertical="center" wrapText="1"/>
    </xf>
    <xf numFmtId="0" fontId="40" fillId="0" borderId="52" xfId="0"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left" vertical="center" wrapText="1"/>
    </xf>
    <xf numFmtId="0" fontId="40" fillId="0" borderId="18" xfId="0" applyNumberFormat="1" applyFont="1" applyFill="1" applyBorder="1" applyAlignment="1" applyProtection="1">
      <alignment horizontal="left" vertical="center" wrapText="1"/>
    </xf>
    <xf numFmtId="0" fontId="40" fillId="0" borderId="19" xfId="0" applyNumberFormat="1" applyFont="1" applyFill="1" applyBorder="1" applyAlignment="1" applyProtection="1">
      <alignment horizontal="left" vertical="center" wrapText="1"/>
    </xf>
    <xf numFmtId="3" fontId="1" fillId="2" borderId="1" xfId="0" applyNumberFormat="1" applyFont="1" applyFill="1" applyBorder="1" applyAlignment="1" applyProtection="1">
      <alignment vertical="center" wrapText="1"/>
      <protection locked="0"/>
    </xf>
    <xf numFmtId="3" fontId="90" fillId="16" borderId="166" xfId="0" applyNumberFormat="1" applyFont="1" applyFill="1" applyBorder="1" applyAlignment="1" applyProtection="1">
      <alignment vertical="center" wrapText="1"/>
      <protection locked="0"/>
    </xf>
    <xf numFmtId="0" fontId="89" fillId="0" borderId="167" xfId="0" applyFont="1" applyBorder="1" applyProtection="1">
      <protection locked="0"/>
    </xf>
    <xf numFmtId="0" fontId="89" fillId="0" borderId="168" xfId="0" applyFont="1" applyBorder="1" applyProtection="1">
      <protection locked="0"/>
    </xf>
    <xf numFmtId="0" fontId="68" fillId="0" borderId="12" xfId="2" applyFont="1" applyFill="1" applyBorder="1" applyAlignment="1" applyProtection="1">
      <alignment horizontal="center" vertical="center"/>
    </xf>
    <xf numFmtId="0" fontId="68" fillId="0" borderId="0" xfId="2" applyFont="1" applyFill="1" applyBorder="1" applyAlignment="1" applyProtection="1">
      <alignment horizontal="center" vertical="center"/>
    </xf>
    <xf numFmtId="0" fontId="68" fillId="0" borderId="13" xfId="2" applyFont="1" applyFill="1" applyBorder="1" applyAlignment="1" applyProtection="1">
      <alignment horizontal="center" vertical="center"/>
    </xf>
    <xf numFmtId="3" fontId="47" fillId="4" borderId="0" xfId="0" applyNumberFormat="1" applyFont="1" applyFill="1" applyBorder="1" applyAlignment="1" applyProtection="1">
      <alignment horizontal="left" vertical="center" wrapText="1"/>
    </xf>
    <xf numFmtId="0" fontId="0" fillId="0" borderId="0" xfId="0" applyBorder="1" applyAlignment="1" applyProtection="1">
      <alignment vertical="center"/>
    </xf>
    <xf numFmtId="1" fontId="54" fillId="0" borderId="49" xfId="0" applyNumberFormat="1" applyFont="1" applyFill="1" applyBorder="1" applyAlignment="1" applyProtection="1">
      <alignment horizontal="center" vertical="center"/>
    </xf>
    <xf numFmtId="1" fontId="54" fillId="0" borderId="54" xfId="0" applyNumberFormat="1" applyFont="1" applyFill="1" applyBorder="1" applyAlignment="1" applyProtection="1">
      <alignment horizontal="center" vertical="center"/>
    </xf>
    <xf numFmtId="3" fontId="49" fillId="4" borderId="0" xfId="0" applyNumberFormat="1" applyFont="1" applyFill="1" applyAlignment="1" applyProtection="1">
      <alignment vertical="center" wrapText="1"/>
    </xf>
    <xf numFmtId="3" fontId="51" fillId="4" borderId="0" xfId="0" applyNumberFormat="1" applyFont="1" applyFill="1" applyAlignment="1" applyProtection="1">
      <alignment vertical="center"/>
    </xf>
    <xf numFmtId="3" fontId="68" fillId="0" borderId="12" xfId="2" applyNumberFormat="1" applyFont="1" applyFill="1" applyBorder="1" applyAlignment="1" applyProtection="1">
      <alignment horizontal="center" vertical="center"/>
    </xf>
    <xf numFmtId="3" fontId="68" fillId="0" borderId="0" xfId="2" applyNumberFormat="1" applyFont="1" applyFill="1" applyBorder="1" applyAlignment="1" applyProtection="1">
      <alignment horizontal="center" vertical="center"/>
    </xf>
    <xf numFmtId="3" fontId="68" fillId="0" borderId="13" xfId="2" applyNumberFormat="1" applyFont="1" applyFill="1" applyBorder="1" applyAlignment="1" applyProtection="1">
      <alignment horizontal="center" vertical="center"/>
    </xf>
    <xf numFmtId="164" fontId="30" fillId="0" borderId="106" xfId="3" applyNumberFormat="1" applyFont="1" applyFill="1" applyBorder="1" applyAlignment="1" applyProtection="1">
      <alignment horizontal="center" vertical="center" wrapText="1"/>
    </xf>
    <xf numFmtId="164" fontId="30" fillId="0" borderId="107" xfId="3" applyNumberFormat="1" applyFont="1" applyFill="1" applyBorder="1" applyAlignment="1" applyProtection="1">
      <alignment horizontal="center" vertical="center" wrapText="1"/>
    </xf>
    <xf numFmtId="164" fontId="30" fillId="0" borderId="108" xfId="3" applyNumberFormat="1" applyFont="1" applyFill="1" applyBorder="1" applyAlignment="1" applyProtection="1">
      <alignment horizontal="center" vertical="center" wrapText="1"/>
    </xf>
    <xf numFmtId="164" fontId="26" fillId="0" borderId="109" xfId="3" applyNumberFormat="1" applyFill="1" applyBorder="1" applyAlignment="1" applyProtection="1">
      <alignment horizontal="center" vertical="center" wrapText="1"/>
    </xf>
    <xf numFmtId="164" fontId="26" fillId="0" borderId="110" xfId="3" applyNumberFormat="1" applyFill="1" applyBorder="1" applyAlignment="1" applyProtection="1">
      <alignment horizontal="center" vertical="center" wrapText="1"/>
    </xf>
    <xf numFmtId="164" fontId="28" fillId="0" borderId="107" xfId="3" applyNumberFormat="1" applyFont="1" applyFill="1" applyBorder="1" applyAlignment="1" applyProtection="1">
      <alignment horizontal="center" vertical="center" wrapText="1"/>
    </xf>
    <xf numFmtId="164" fontId="28" fillId="0" borderId="29" xfId="3" applyNumberFormat="1" applyFont="1" applyFill="1" applyBorder="1" applyAlignment="1" applyProtection="1">
      <alignment horizontal="center" vertical="center" wrapText="1"/>
    </xf>
    <xf numFmtId="164" fontId="69" fillId="0" borderId="106" xfId="3" applyNumberFormat="1" applyFont="1" applyFill="1" applyBorder="1" applyAlignment="1" applyProtection="1">
      <alignment horizontal="center" vertical="center" wrapText="1"/>
    </xf>
    <xf numFmtId="164" fontId="69" fillId="0" borderId="107" xfId="3" applyNumberFormat="1" applyFont="1" applyFill="1" applyBorder="1" applyAlignment="1" applyProtection="1">
      <alignment horizontal="center" vertical="center" wrapText="1"/>
    </xf>
    <xf numFmtId="164" fontId="69" fillId="0" borderId="108" xfId="3" applyNumberFormat="1" applyFont="1" applyFill="1" applyBorder="1" applyAlignment="1" applyProtection="1">
      <alignment horizontal="center" vertical="center" wrapText="1"/>
    </xf>
    <xf numFmtId="164" fontId="26" fillId="0" borderId="29" xfId="3" applyNumberFormat="1" applyFill="1" applyBorder="1" applyAlignment="1" applyProtection="1">
      <alignment horizontal="center" vertical="center" wrapText="1"/>
    </xf>
    <xf numFmtId="164" fontId="26" fillId="0" borderId="31" xfId="3" applyNumberFormat="1" applyFill="1" applyBorder="1" applyAlignment="1" applyProtection="1">
      <alignment horizontal="center" vertical="center" wrapText="1"/>
    </xf>
    <xf numFmtId="3" fontId="46" fillId="0" borderId="14" xfId="0" applyNumberFormat="1" applyFont="1" applyFill="1" applyBorder="1" applyAlignment="1" applyProtection="1">
      <alignment horizontal="center" vertical="center"/>
    </xf>
    <xf numFmtId="3" fontId="46" fillId="0" borderId="18" xfId="0" applyNumberFormat="1" applyFont="1" applyFill="1" applyBorder="1" applyAlignment="1" applyProtection="1">
      <alignment horizontal="center" vertical="center"/>
    </xf>
    <xf numFmtId="3" fontId="71" fillId="0" borderId="111" xfId="0" applyNumberFormat="1" applyFont="1" applyFill="1" applyBorder="1" applyAlignment="1" applyProtection="1">
      <alignment horizontal="center" vertical="center"/>
    </xf>
    <xf numFmtId="3" fontId="40" fillId="0" borderId="38" xfId="0" applyNumberFormat="1" applyFont="1" applyFill="1" applyBorder="1" applyAlignment="1" applyProtection="1">
      <alignment horizontal="center" vertical="center"/>
    </xf>
    <xf numFmtId="3" fontId="40" fillId="0" borderId="51" xfId="0" applyNumberFormat="1" applyFont="1" applyFill="1" applyBorder="1" applyAlignment="1" applyProtection="1">
      <alignment horizontal="center" vertical="center"/>
    </xf>
    <xf numFmtId="3" fontId="40" fillId="0" borderId="52" xfId="0" applyNumberFormat="1" applyFont="1" applyFill="1" applyBorder="1" applyAlignment="1" applyProtection="1">
      <alignment horizontal="center" vertical="center"/>
    </xf>
    <xf numFmtId="3" fontId="4" fillId="6" borderId="38" xfId="0" applyNumberFormat="1" applyFont="1" applyFill="1" applyBorder="1" applyAlignment="1" applyProtection="1">
      <alignment horizontal="center" vertical="center"/>
    </xf>
    <xf numFmtId="3" fontId="4" fillId="6" borderId="51" xfId="0" applyNumberFormat="1" applyFont="1" applyFill="1" applyBorder="1" applyAlignment="1" applyProtection="1">
      <alignment horizontal="center" vertical="center"/>
    </xf>
    <xf numFmtId="3" fontId="4" fillId="6" borderId="52" xfId="0" applyNumberFormat="1" applyFont="1" applyFill="1" applyBorder="1" applyAlignment="1" applyProtection="1">
      <alignment horizontal="center" vertical="center"/>
    </xf>
    <xf numFmtId="1" fontId="40" fillId="0" borderId="49" xfId="0" applyNumberFormat="1" applyFont="1" applyFill="1" applyBorder="1" applyAlignment="1" applyProtection="1">
      <alignment horizontal="center" vertical="center" wrapText="1"/>
    </xf>
    <xf numFmtId="1" fontId="40" fillId="0" borderId="130" xfId="0" applyNumberFormat="1" applyFont="1" applyFill="1" applyBorder="1" applyAlignment="1" applyProtection="1">
      <alignment horizontal="center" vertical="center" wrapText="1"/>
    </xf>
    <xf numFmtId="4" fontId="40" fillId="0" borderId="38" xfId="0" applyNumberFormat="1" applyFont="1" applyFill="1" applyBorder="1" applyAlignment="1" applyProtection="1">
      <alignment horizontal="center" vertical="center" wrapText="1"/>
    </xf>
    <xf numFmtId="4" fontId="40" fillId="0" borderId="52" xfId="0" applyNumberFormat="1" applyFont="1" applyFill="1" applyBorder="1" applyAlignment="1" applyProtection="1">
      <alignment horizontal="center" vertical="center" wrapText="1"/>
    </xf>
    <xf numFmtId="3" fontId="40" fillId="2" borderId="38" xfId="0" applyNumberFormat="1" applyFont="1" applyFill="1" applyBorder="1" applyAlignment="1" applyProtection="1">
      <alignment horizontal="center" vertical="center" wrapText="1"/>
      <protection locked="0"/>
    </xf>
    <xf numFmtId="3" fontId="40" fillId="2" borderId="51" xfId="0" applyNumberFormat="1" applyFont="1" applyFill="1" applyBorder="1" applyAlignment="1" applyProtection="1">
      <alignment horizontal="center" vertical="center" wrapText="1"/>
      <protection locked="0"/>
    </xf>
    <xf numFmtId="3" fontId="40" fillId="2" borderId="52" xfId="0" applyNumberFormat="1" applyFont="1" applyFill="1" applyBorder="1" applyAlignment="1" applyProtection="1">
      <alignment horizontal="center" vertical="center" wrapText="1"/>
      <protection locked="0"/>
    </xf>
    <xf numFmtId="4" fontId="40" fillId="0" borderId="38" xfId="0" applyNumberFormat="1" applyFont="1" applyFill="1" applyBorder="1" applyAlignment="1" applyProtection="1">
      <alignment horizontal="center" vertical="center"/>
    </xf>
    <xf numFmtId="4" fontId="40" fillId="0" borderId="51" xfId="0" applyNumberFormat="1" applyFont="1" applyFill="1" applyBorder="1" applyAlignment="1" applyProtection="1">
      <alignment horizontal="center" vertical="center"/>
    </xf>
    <xf numFmtId="4" fontId="40" fillId="0" borderId="52" xfId="0" applyNumberFormat="1" applyFont="1" applyFill="1" applyBorder="1" applyAlignment="1" applyProtection="1">
      <alignment horizontal="center" vertical="center"/>
    </xf>
    <xf numFmtId="0" fontId="79" fillId="0" borderId="0" xfId="0" applyFont="1" applyBorder="1" applyAlignment="1" applyProtection="1"/>
    <xf numFmtId="0" fontId="0" fillId="0" borderId="0" xfId="0" applyBorder="1" applyAlignment="1" applyProtection="1"/>
    <xf numFmtId="0" fontId="68" fillId="0" borderId="12" xfId="2" applyFont="1" applyBorder="1" applyAlignment="1" applyProtection="1">
      <alignment horizontal="center"/>
    </xf>
    <xf numFmtId="0" fontId="68" fillId="0" borderId="0" xfId="2" applyFont="1" applyBorder="1" applyAlignment="1" applyProtection="1">
      <alignment horizontal="center"/>
    </xf>
    <xf numFmtId="0" fontId="68" fillId="0" borderId="13" xfId="2" applyFont="1" applyBorder="1" applyAlignment="1" applyProtection="1">
      <alignment horizontal="center"/>
    </xf>
    <xf numFmtId="3" fontId="26" fillId="0" borderId="124" xfId="3" applyNumberFormat="1" applyFill="1" applyBorder="1" applyAlignment="1">
      <alignment horizontal="center" vertical="center"/>
    </xf>
    <xf numFmtId="3" fontId="26" fillId="0" borderId="125" xfId="3" applyNumberFormat="1" applyFill="1" applyBorder="1" applyAlignment="1">
      <alignment horizontal="center" vertical="center"/>
    </xf>
    <xf numFmtId="3" fontId="26" fillId="0" borderId="120" xfId="3" applyNumberFormat="1" applyFill="1" applyBorder="1" applyAlignment="1">
      <alignment horizontal="center" vertical="center"/>
    </xf>
    <xf numFmtId="3" fontId="26" fillId="0" borderId="121" xfId="3" applyNumberFormat="1" applyFill="1" applyBorder="1" applyAlignment="1">
      <alignment horizontal="center" vertical="center"/>
    </xf>
    <xf numFmtId="3" fontId="26" fillId="0" borderId="122" xfId="3" applyNumberFormat="1" applyFill="1" applyBorder="1" applyAlignment="1">
      <alignment horizontal="center" vertical="center"/>
    </xf>
    <xf numFmtId="3" fontId="26" fillId="0" borderId="123" xfId="3" applyNumberFormat="1" applyFill="1" applyBorder="1" applyAlignment="1">
      <alignment horizontal="center" vertical="center"/>
    </xf>
    <xf numFmtId="3" fontId="26" fillId="0" borderId="118" xfId="3" applyNumberFormat="1" applyFill="1" applyBorder="1" applyAlignment="1">
      <alignment vertical="center"/>
    </xf>
    <xf numFmtId="3" fontId="26" fillId="0" borderId="119" xfId="3" applyNumberFormat="1" applyFill="1" applyBorder="1" applyAlignment="1">
      <alignment vertical="center"/>
    </xf>
    <xf numFmtId="3" fontId="26" fillId="0" borderId="126" xfId="3" applyNumberFormat="1" applyFill="1" applyBorder="1" applyAlignment="1">
      <alignment vertical="center"/>
    </xf>
    <xf numFmtId="3" fontId="26" fillId="0" borderId="127" xfId="3" applyNumberFormat="1" applyFill="1" applyBorder="1" applyAlignment="1">
      <alignment vertical="center"/>
    </xf>
    <xf numFmtId="3" fontId="26" fillId="0" borderId="116" xfId="3" applyNumberFormat="1" applyFill="1" applyBorder="1" applyAlignment="1">
      <alignment vertical="center"/>
    </xf>
    <xf numFmtId="3" fontId="26" fillId="0" borderId="117" xfId="3" applyNumberFormat="1" applyFill="1" applyBorder="1" applyAlignment="1">
      <alignment vertical="center"/>
    </xf>
    <xf numFmtId="3" fontId="30" fillId="0" borderId="112" xfId="3" applyNumberFormat="1" applyFont="1" applyFill="1" applyBorder="1" applyAlignment="1">
      <alignment horizontal="center" vertical="center" wrapText="1"/>
    </xf>
    <xf numFmtId="3" fontId="30" fillId="0" borderId="113" xfId="3" applyNumberFormat="1" applyFont="1" applyFill="1" applyBorder="1" applyAlignment="1">
      <alignment horizontal="center" vertical="center" wrapText="1"/>
    </xf>
    <xf numFmtId="3" fontId="30" fillId="0" borderId="114" xfId="3" applyNumberFormat="1" applyFont="1" applyFill="1" applyBorder="1" applyAlignment="1">
      <alignment horizontal="center" vertical="center" wrapText="1"/>
    </xf>
    <xf numFmtId="3" fontId="30" fillId="0" borderId="115" xfId="3" applyNumberFormat="1" applyFont="1" applyFill="1" applyBorder="1" applyAlignment="1">
      <alignment horizontal="center" vertical="center" wrapText="1"/>
    </xf>
  </cellXfs>
  <cellStyles count="4">
    <cellStyle name="2x indented GHG Textfiels" xfId="1" xr:uid="{00000000-0005-0000-0000-000000000000}"/>
    <cellStyle name="Hyperlink" xfId="2" builtinId="8"/>
    <cellStyle name="Normal" xfId="0" builtinId="0"/>
    <cellStyle name="Normal_Simple mapping and EM, ctp_00a" xfId="3" xr:uid="{00000000-0005-0000-0000-000003000000}"/>
  </cellStyles>
  <dxfs count="1">
    <dxf>
      <font>
        <condense val="0"/>
        <extend val="0"/>
        <color indexed="9"/>
      </font>
    </dxf>
  </dxfs>
  <tableStyles count="0" defaultTableStyle="TableStyleMedium2"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Electricity Consumption</a:t>
            </a:r>
          </a:p>
        </c:rich>
      </c:tx>
      <c:layout>
        <c:manualLayout>
          <c:xMode val="edge"/>
          <c:yMode val="edge"/>
          <c:x val="0.35726210350584309"/>
          <c:y val="3.3802816901408447E-2"/>
        </c:manualLayout>
      </c:layout>
      <c:overlay val="0"/>
      <c:spPr>
        <a:noFill/>
        <a:ln w="25400">
          <a:noFill/>
        </a:ln>
      </c:spPr>
    </c:title>
    <c:autoTitleDeleted val="0"/>
    <c:plotArea>
      <c:layout>
        <c:manualLayout>
          <c:layoutTarget val="inner"/>
          <c:xMode val="edge"/>
          <c:yMode val="edge"/>
          <c:x val="0.15132265966754155"/>
          <c:y val="0.11831002188328274"/>
          <c:w val="0.83198285214348211"/>
          <c:h val="0.74084608941198482"/>
        </c:manualLayout>
      </c:layout>
      <c:barChart>
        <c:barDir val="col"/>
        <c:grouping val="stacked"/>
        <c:varyColors val="0"/>
        <c:ser>
          <c:idx val="0"/>
          <c:order val="0"/>
          <c:tx>
            <c:strRef>
              <c:f>Electricity!$CC$8</c:f>
              <c:strCache>
                <c:ptCount val="1"/>
                <c:pt idx="0">
                  <c:v>Day Consumption</c:v>
                </c:pt>
              </c:strCache>
            </c:strRef>
          </c:tx>
          <c:spPr>
            <a:solidFill>
              <a:srgbClr val="3366FF"/>
            </a:solidFill>
            <a:ln w="12700">
              <a:solidFill>
                <a:srgbClr val="3366FF"/>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Electricity!$CC$10:$CC$21</c:f>
              <c:numCache>
                <c:formatCode>#,##0</c:formatCode>
                <c:ptCount val="12"/>
                <c:pt idx="0">
                  <c:v>900231.84810711979</c:v>
                </c:pt>
                <c:pt idx="1">
                  <c:v>851522.98462713591</c:v>
                </c:pt>
                <c:pt idx="2">
                  <c:v>718322.35756939452</c:v>
                </c:pt>
                <c:pt idx="3">
                  <c:v>866345.18824608077</c:v>
                </c:pt>
                <c:pt idx="4">
                  <c:v>1176428.012341975</c:v>
                </c:pt>
                <c:pt idx="5">
                  <c:v>1550130.7683249484</c:v>
                </c:pt>
                <c:pt idx="6">
                  <c:v>1006776.2219065372</c:v>
                </c:pt>
                <c:pt idx="7">
                  <c:v>1168216.2576440903</c:v>
                </c:pt>
                <c:pt idx="8">
                  <c:v>1313586.2696298389</c:v>
                </c:pt>
                <c:pt idx="9">
                  <c:v>1162507.6938871311</c:v>
                </c:pt>
                <c:pt idx="10">
                  <c:v>1250840.2334306743</c:v>
                </c:pt>
                <c:pt idx="11">
                  <c:v>1217318.4317731571</c:v>
                </c:pt>
              </c:numCache>
            </c:numRef>
          </c:val>
          <c:extLst>
            <c:ext xmlns:c16="http://schemas.microsoft.com/office/drawing/2014/chart" uri="{C3380CC4-5D6E-409C-BE32-E72D297353CC}">
              <c16:uniqueId val="{00000000-85D6-4F6F-BF01-61ADB305A299}"/>
            </c:ext>
          </c:extLst>
        </c:ser>
        <c:ser>
          <c:idx val="1"/>
          <c:order val="1"/>
          <c:tx>
            <c:strRef>
              <c:f>Electricity!$CD$8</c:f>
              <c:strCache>
                <c:ptCount val="1"/>
                <c:pt idx="0">
                  <c:v>Night Consumption</c:v>
                </c:pt>
              </c:strCache>
            </c:strRef>
          </c:tx>
          <c:spPr>
            <a:solidFill>
              <a:srgbClr val="993366"/>
            </a:solidFill>
            <a:ln w="12700">
              <a:solidFill>
                <a:srgbClr val="993366"/>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Electricity!$CD$10:$CD$21</c:f>
              <c:numCache>
                <c:formatCode>#,##0</c:formatCode>
                <c:ptCount val="12"/>
                <c:pt idx="0">
                  <c:v>871.11219890329528</c:v>
                </c:pt>
                <c:pt idx="1">
                  <c:v>67983.623046596986</c:v>
                </c:pt>
                <c:pt idx="2">
                  <c:v>142799.09799797772</c:v>
                </c:pt>
                <c:pt idx="3">
                  <c:v>159706.0174237043</c:v>
                </c:pt>
                <c:pt idx="4">
                  <c:v>154432.7967776614</c:v>
                </c:pt>
                <c:pt idx="5">
                  <c:v>991.3988298526375</c:v>
                </c:pt>
                <c:pt idx="6">
                  <c:v>67188.520501645617</c:v>
                </c:pt>
                <c:pt idx="7">
                  <c:v>185700.70679116785</c:v>
                </c:pt>
                <c:pt idx="8">
                  <c:v>194968.21060736995</c:v>
                </c:pt>
                <c:pt idx="9">
                  <c:v>16995.45205129547</c:v>
                </c:pt>
                <c:pt idx="10">
                  <c:v>212046.77537041286</c:v>
                </c:pt>
                <c:pt idx="11">
                  <c:v>72066.945234072744</c:v>
                </c:pt>
              </c:numCache>
            </c:numRef>
          </c:val>
          <c:extLst>
            <c:ext xmlns:c16="http://schemas.microsoft.com/office/drawing/2014/chart" uri="{C3380CC4-5D6E-409C-BE32-E72D297353CC}">
              <c16:uniqueId val="{00000001-85D6-4F6F-BF01-61ADB305A299}"/>
            </c:ext>
          </c:extLst>
        </c:ser>
        <c:ser>
          <c:idx val="2"/>
          <c:order val="2"/>
          <c:tx>
            <c:v>Weekend</c:v>
          </c:tx>
          <c:spPr>
            <a:solidFill>
              <a:srgbClr val="FF9900"/>
            </a:solidFill>
            <a:ln w="12700">
              <a:solidFill>
                <a:srgbClr val="FF9900"/>
              </a:solidFill>
              <a:prstDash val="solid"/>
            </a:ln>
          </c:spPr>
          <c:invertIfNegative val="0"/>
          <c:val>
            <c:numRef>
              <c:f>Electricity!$N$10:$N$21</c:f>
              <c:numCache>
                <c:formatCode>#,##0</c:formatCode>
                <c:ptCount val="12"/>
                <c:pt idx="0">
                  <c:v>20851.039693977084</c:v>
                </c:pt>
                <c:pt idx="1">
                  <c:v>6539.3923262672415</c:v>
                </c:pt>
                <c:pt idx="2">
                  <c:v>73014.544432627707</c:v>
                </c:pt>
                <c:pt idx="3">
                  <c:v>128202.79433021486</c:v>
                </c:pt>
                <c:pt idx="4">
                  <c:v>8461.1908803637671</c:v>
                </c:pt>
                <c:pt idx="5">
                  <c:v>28356.83284519874</c:v>
                </c:pt>
                <c:pt idx="6">
                  <c:v>99943.257591817179</c:v>
                </c:pt>
                <c:pt idx="7">
                  <c:v>20194.03556474176</c:v>
                </c:pt>
                <c:pt idx="8">
                  <c:v>42127.519762791395</c:v>
                </c:pt>
                <c:pt idx="9">
                  <c:v>196898.8540615736</c:v>
                </c:pt>
                <c:pt idx="10">
                  <c:v>18606.991198912969</c:v>
                </c:pt>
                <c:pt idx="11">
                  <c:v>40556.62299277023</c:v>
                </c:pt>
              </c:numCache>
            </c:numRef>
          </c:val>
          <c:extLst>
            <c:ext xmlns:c16="http://schemas.microsoft.com/office/drawing/2014/chart" uri="{C3380CC4-5D6E-409C-BE32-E72D297353CC}">
              <c16:uniqueId val="{00000002-85D6-4F6F-BF01-61ADB305A299}"/>
            </c:ext>
          </c:extLst>
        </c:ser>
        <c:dLbls>
          <c:showLegendKey val="0"/>
          <c:showVal val="0"/>
          <c:showCatName val="0"/>
          <c:showSerName val="0"/>
          <c:showPercent val="0"/>
          <c:showBubbleSize val="0"/>
        </c:dLbls>
        <c:gapWidth val="150"/>
        <c:overlap val="100"/>
        <c:axId val="48895488"/>
        <c:axId val="48897024"/>
      </c:barChart>
      <c:catAx>
        <c:axId val="48895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8897024"/>
        <c:crosses val="autoZero"/>
        <c:auto val="1"/>
        <c:lblAlgn val="ctr"/>
        <c:lblOffset val="100"/>
        <c:tickLblSkip val="1"/>
        <c:tickMarkSkip val="1"/>
        <c:noMultiLvlLbl val="0"/>
      </c:catAx>
      <c:valAx>
        <c:axId val="48897024"/>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da-DK"/>
                  <a:t>Monthly Electricity Consumption [kWh]</a:t>
                </a:r>
              </a:p>
            </c:rich>
          </c:tx>
          <c:layout>
            <c:manualLayout>
              <c:xMode val="edge"/>
              <c:yMode val="edge"/>
              <c:x val="1.8363939899833055E-2"/>
              <c:y val="0.1746481830616243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8895488"/>
        <c:crosses val="autoZero"/>
        <c:crossBetween val="between"/>
      </c:valAx>
      <c:spPr>
        <a:noFill/>
        <a:ln w="12700">
          <a:solidFill>
            <a:srgbClr val="808080"/>
          </a:solidFill>
          <a:prstDash val="solid"/>
        </a:ln>
      </c:spPr>
    </c:plotArea>
    <c:legend>
      <c:legendPos val="b"/>
      <c:layout>
        <c:manualLayout>
          <c:xMode val="edge"/>
          <c:yMode val="edge"/>
          <c:x val="0.25521621318648841"/>
          <c:y val="0.92813481256875829"/>
          <c:w val="0.56381949137627285"/>
          <c:h val="6.100416608433153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Natural Gas Consumption KPI</a:t>
            </a:r>
          </a:p>
        </c:rich>
      </c:tx>
      <c:layout>
        <c:manualLayout>
          <c:xMode val="edge"/>
          <c:yMode val="edge"/>
          <c:x val="0.3038679833529096"/>
          <c:y val="3.2019704433497539E-2"/>
        </c:manualLayout>
      </c:layout>
      <c:overlay val="0"/>
      <c:spPr>
        <a:noFill/>
        <a:ln w="25400">
          <a:noFill/>
        </a:ln>
      </c:spPr>
    </c:title>
    <c:autoTitleDeleted val="0"/>
    <c:plotArea>
      <c:layout>
        <c:manualLayout>
          <c:layoutTarget val="inner"/>
          <c:xMode val="edge"/>
          <c:yMode val="edge"/>
          <c:x val="0.13255635324996143"/>
          <c:y val="0.1330050860686938"/>
          <c:w val="0.84166280685502548"/>
          <c:h val="0.70197128758477279"/>
        </c:manualLayout>
      </c:layout>
      <c:barChart>
        <c:barDir val="col"/>
        <c:grouping val="clustered"/>
        <c:varyColors val="0"/>
        <c:ser>
          <c:idx val="0"/>
          <c:order val="0"/>
          <c:tx>
            <c:strRef>
              <c:f>KPI!$Q$21</c:f>
              <c:strCache>
                <c:ptCount val="1"/>
                <c:pt idx="0">
                  <c:v>[kWh/Ton]</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KPI!$Q$22:$Q$33</c:f>
              <c:numCache>
                <c:formatCode>#,##0.00</c:formatCode>
                <c:ptCount val="12"/>
                <c:pt idx="0">
                  <c:v>119.13352092752868</c:v>
                </c:pt>
                <c:pt idx="1">
                  <c:v>203.07234525017785</c:v>
                </c:pt>
                <c:pt idx="2">
                  <c:v>113.98775957591786</c:v>
                </c:pt>
                <c:pt idx="3">
                  <c:v>104.86780927906871</c:v>
                </c:pt>
                <c:pt idx="4">
                  <c:v>141.7382970765899</c:v>
                </c:pt>
                <c:pt idx="5">
                  <c:v>106.06446713811238</c:v>
                </c:pt>
                <c:pt idx="6">
                  <c:v>80.225593730393001</c:v>
                </c:pt>
                <c:pt idx="7">
                  <c:v>67.372442418158968</c:v>
                </c:pt>
                <c:pt idx="8">
                  <c:v>70.687923879079577</c:v>
                </c:pt>
                <c:pt idx="9">
                  <c:v>69.746423155769193</c:v>
                </c:pt>
                <c:pt idx="10">
                  <c:v>82.143467190366749</c:v>
                </c:pt>
                <c:pt idx="11">
                  <c:v>73.881435200678283</c:v>
                </c:pt>
              </c:numCache>
            </c:numRef>
          </c:val>
          <c:extLst>
            <c:ext xmlns:c16="http://schemas.microsoft.com/office/drawing/2014/chart" uri="{C3380CC4-5D6E-409C-BE32-E72D297353CC}">
              <c16:uniqueId val="{00000000-9D25-420B-9C63-16817217CC58}"/>
            </c:ext>
          </c:extLst>
        </c:ser>
        <c:dLbls>
          <c:showLegendKey val="0"/>
          <c:showVal val="0"/>
          <c:showCatName val="0"/>
          <c:showSerName val="0"/>
          <c:showPercent val="0"/>
          <c:showBubbleSize val="0"/>
        </c:dLbls>
        <c:gapWidth val="150"/>
        <c:axId val="50836224"/>
        <c:axId val="50837760"/>
      </c:barChart>
      <c:catAx>
        <c:axId val="50836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837760"/>
        <c:crosses val="autoZero"/>
        <c:auto val="1"/>
        <c:lblAlgn val="ctr"/>
        <c:lblOffset val="100"/>
        <c:tickLblSkip val="1"/>
        <c:tickMarkSkip val="1"/>
        <c:noMultiLvlLbl val="0"/>
      </c:catAx>
      <c:valAx>
        <c:axId val="50837760"/>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841620626151013E-2"/>
              <c:y val="0.4482763792456976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836224"/>
        <c:crosses val="autoZero"/>
        <c:crossBetween val="between"/>
      </c:valAx>
      <c:spPr>
        <a:noFill/>
        <a:ln w="12700">
          <a:solidFill>
            <a:srgbClr val="808080"/>
          </a:solidFill>
          <a:prstDash val="solid"/>
        </a:ln>
      </c:spPr>
    </c:plotArea>
    <c:legend>
      <c:legendPos val="b"/>
      <c:layout>
        <c:manualLayout>
          <c:xMode val="edge"/>
          <c:yMode val="edge"/>
          <c:x val="0.21265025320251366"/>
          <c:y val="0.91622090468886885"/>
          <c:w val="0.7212866696463639"/>
          <c:h val="7.428818146125963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Natural Gas Cost KPI</a:t>
            </a:r>
          </a:p>
        </c:rich>
      </c:tx>
      <c:layout>
        <c:manualLayout>
          <c:xMode val="edge"/>
          <c:yMode val="edge"/>
          <c:x val="0.36197478971435698"/>
          <c:y val="3.1862745098039214E-2"/>
        </c:manualLayout>
      </c:layout>
      <c:overlay val="0"/>
      <c:spPr>
        <a:noFill/>
        <a:ln w="25400">
          <a:noFill/>
        </a:ln>
      </c:spPr>
    </c:title>
    <c:autoTitleDeleted val="0"/>
    <c:plotArea>
      <c:layout>
        <c:manualLayout>
          <c:layoutTarget val="inner"/>
          <c:xMode val="edge"/>
          <c:yMode val="edge"/>
          <c:x val="0.11088587466712646"/>
          <c:y val="0.13235325796869726"/>
          <c:w val="0.8635208920052877"/>
          <c:h val="0.70343305624103913"/>
        </c:manualLayout>
      </c:layout>
      <c:barChart>
        <c:barDir val="col"/>
        <c:grouping val="clustered"/>
        <c:varyColors val="0"/>
        <c:ser>
          <c:idx val="0"/>
          <c:order val="0"/>
          <c:tx>
            <c:strRef>
              <c:f>KPI!$AC$21</c:f>
              <c:strCache>
                <c:ptCount val="1"/>
                <c:pt idx="0">
                  <c:v>[$/Ton]</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KPI!$AC$22:$AC$33</c:f>
              <c:numCache>
                <c:formatCode>#,##0.00</c:formatCode>
                <c:ptCount val="12"/>
                <c:pt idx="0">
                  <c:v>0.81461936819490322</c:v>
                </c:pt>
                <c:pt idx="1">
                  <c:v>1.3949966298442507</c:v>
                </c:pt>
                <c:pt idx="2">
                  <c:v>0.87787839468085349</c:v>
                </c:pt>
                <c:pt idx="3">
                  <c:v>0.81105253688639989</c:v>
                </c:pt>
                <c:pt idx="4">
                  <c:v>1.0917926555449111</c:v>
                </c:pt>
                <c:pt idx="5">
                  <c:v>0.79636423555825808</c:v>
                </c:pt>
                <c:pt idx="6">
                  <c:v>0.59802346370380377</c:v>
                </c:pt>
                <c:pt idx="7">
                  <c:v>0.50284391460091116</c:v>
                </c:pt>
                <c:pt idx="8">
                  <c:v>0.52592791614423062</c:v>
                </c:pt>
                <c:pt idx="9">
                  <c:v>0.52114573841055467</c:v>
                </c:pt>
                <c:pt idx="10">
                  <c:v>1.1942041042344032</c:v>
                </c:pt>
                <c:pt idx="11">
                  <c:v>1.1573086743698962</c:v>
                </c:pt>
              </c:numCache>
            </c:numRef>
          </c:val>
          <c:extLst>
            <c:ext xmlns:c16="http://schemas.microsoft.com/office/drawing/2014/chart" uri="{C3380CC4-5D6E-409C-BE32-E72D297353CC}">
              <c16:uniqueId val="{00000000-DB6F-44E6-9797-B5F36291BA44}"/>
            </c:ext>
          </c:extLst>
        </c:ser>
        <c:dLbls>
          <c:showLegendKey val="0"/>
          <c:showVal val="0"/>
          <c:showCatName val="0"/>
          <c:showSerName val="0"/>
          <c:showPercent val="0"/>
          <c:showBubbleSize val="0"/>
        </c:dLbls>
        <c:gapWidth val="150"/>
        <c:axId val="50854912"/>
        <c:axId val="50946816"/>
      </c:barChart>
      <c:catAx>
        <c:axId val="50854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946816"/>
        <c:crosses val="autoZero"/>
        <c:auto val="1"/>
        <c:lblAlgn val="ctr"/>
        <c:lblOffset val="100"/>
        <c:tickLblSkip val="1"/>
        <c:tickMarkSkip val="1"/>
        <c:noMultiLvlLbl val="0"/>
      </c:catAx>
      <c:valAx>
        <c:axId val="50946816"/>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8281535648994516E-2"/>
              <c:y val="0.4485304410478101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854912"/>
        <c:crosses val="autoZero"/>
        <c:crossBetween val="between"/>
      </c:valAx>
      <c:spPr>
        <a:noFill/>
        <a:ln w="12700">
          <a:solidFill>
            <a:srgbClr val="808080"/>
          </a:solidFill>
          <a:prstDash val="solid"/>
        </a:ln>
      </c:spPr>
    </c:plotArea>
    <c:legend>
      <c:legendPos val="b"/>
      <c:layout>
        <c:manualLayout>
          <c:xMode val="edge"/>
          <c:yMode val="edge"/>
          <c:x val="0.20542751388678446"/>
          <c:y val="0.92237711337175554"/>
          <c:w val="0.71614313868865154"/>
          <c:h val="6.818393445869239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LPG Deliveries (~Consumption)</a:t>
            </a:r>
          </a:p>
        </c:rich>
      </c:tx>
      <c:layout>
        <c:manualLayout>
          <c:xMode val="edge"/>
          <c:yMode val="edge"/>
          <c:x val="0.27345372247630723"/>
          <c:y val="3.3802816901408447E-2"/>
        </c:manualLayout>
      </c:layout>
      <c:overlay val="0"/>
      <c:spPr>
        <a:noFill/>
        <a:ln w="25400">
          <a:noFill/>
        </a:ln>
      </c:spPr>
    </c:title>
    <c:autoTitleDeleted val="0"/>
    <c:plotArea>
      <c:layout>
        <c:manualLayout>
          <c:layoutTarget val="inner"/>
          <c:xMode val="edge"/>
          <c:yMode val="edge"/>
          <c:x val="0.14642207865478063"/>
          <c:y val="0.15251041521082886"/>
          <c:w val="0.825571294542912"/>
          <c:h val="0.66668838649305173"/>
        </c:manualLayout>
      </c:layout>
      <c:barChart>
        <c:barDir val="col"/>
        <c:grouping val="stacked"/>
        <c:varyColors val="0"/>
        <c:ser>
          <c:idx val="2"/>
          <c:order val="0"/>
          <c:tx>
            <c:strRef>
              <c:f>LPG!$AT$8</c:f>
              <c:strCache>
                <c:ptCount val="1"/>
                <c:pt idx="0">
                  <c:v>Delivery 1</c:v>
                </c:pt>
              </c:strCache>
            </c:strRef>
          </c:tx>
          <c:spPr>
            <a:solidFill>
              <a:srgbClr val="3366FF"/>
            </a:solidFill>
            <a:ln w="12700">
              <a:solidFill>
                <a:srgbClr val="008080"/>
              </a:solidFill>
              <a:prstDash val="solid"/>
            </a:ln>
          </c:spPr>
          <c:invertIfNegative val="0"/>
          <c:cat>
            <c:strRef>
              <c:f>LPG!$B$10:$B$21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LPG!$AT$10:$AT$21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937-4B98-AA1C-6B973FA86189}"/>
            </c:ext>
          </c:extLst>
        </c:ser>
        <c:ser>
          <c:idx val="0"/>
          <c:order val="1"/>
          <c:tx>
            <c:strRef>
              <c:f>LPG!$AU$8</c:f>
              <c:strCache>
                <c:ptCount val="1"/>
                <c:pt idx="0">
                  <c:v>Delivery 2</c:v>
                </c:pt>
              </c:strCache>
            </c:strRef>
          </c:tx>
          <c:spPr>
            <a:solidFill>
              <a:srgbClr val="993366"/>
            </a:solidFill>
            <a:ln w="12700">
              <a:solidFill>
                <a:srgbClr val="993366"/>
              </a:solidFill>
              <a:prstDash val="solid"/>
            </a:ln>
          </c:spPr>
          <c:invertIfNegative val="0"/>
          <c:cat>
            <c:strRef>
              <c:f>LPG!$B$10:$B$21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LPG!$AU$10:$AU$21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937-4B98-AA1C-6B973FA86189}"/>
            </c:ext>
          </c:extLst>
        </c:ser>
        <c:ser>
          <c:idx val="1"/>
          <c:order val="2"/>
          <c:tx>
            <c:strRef>
              <c:f>LPG!$AV$8</c:f>
              <c:strCache>
                <c:ptCount val="1"/>
                <c:pt idx="0">
                  <c:v>Delivery 3</c:v>
                </c:pt>
              </c:strCache>
            </c:strRef>
          </c:tx>
          <c:spPr>
            <a:solidFill>
              <a:srgbClr val="FF9900"/>
            </a:solidFill>
            <a:ln w="12700">
              <a:solidFill>
                <a:srgbClr val="FF9900"/>
              </a:solidFill>
              <a:prstDash val="solid"/>
            </a:ln>
          </c:spPr>
          <c:invertIfNegative val="0"/>
          <c:cat>
            <c:strRef>
              <c:f>LPG!$B$10:$B$21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LPG!$AV$10:$AV$21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937-4B98-AA1C-6B973FA86189}"/>
            </c:ext>
          </c:extLst>
        </c:ser>
        <c:ser>
          <c:idx val="3"/>
          <c:order val="3"/>
          <c:tx>
            <c:strRef>
              <c:f>LPG!$AW$8</c:f>
              <c:strCache>
                <c:ptCount val="1"/>
                <c:pt idx="0">
                  <c:v>Delivery 4</c:v>
                </c:pt>
              </c:strCache>
            </c:strRef>
          </c:tx>
          <c:spPr>
            <a:solidFill>
              <a:srgbClr val="33CCCC"/>
            </a:solidFill>
            <a:ln w="12700">
              <a:solidFill>
                <a:srgbClr val="33CCCC"/>
              </a:solidFill>
              <a:prstDash val="solid"/>
            </a:ln>
          </c:spPr>
          <c:invertIfNegative val="0"/>
          <c:cat>
            <c:strRef>
              <c:f>LPG!$B$10:$B$21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LPG!$AW$10:$AW$21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5937-4B98-AA1C-6B973FA86189}"/>
            </c:ext>
          </c:extLst>
        </c:ser>
        <c:ser>
          <c:idx val="4"/>
          <c:order val="4"/>
          <c:tx>
            <c:strRef>
              <c:f>LPG!$AX$8</c:f>
              <c:strCache>
                <c:ptCount val="1"/>
                <c:pt idx="0">
                  <c:v>Delivery 5</c:v>
                </c:pt>
              </c:strCache>
            </c:strRef>
          </c:tx>
          <c:spPr>
            <a:solidFill>
              <a:srgbClr val="FFFF00"/>
            </a:solidFill>
            <a:ln w="12700">
              <a:solidFill>
                <a:srgbClr val="FFFF00"/>
              </a:solidFill>
              <a:prstDash val="solid"/>
            </a:ln>
          </c:spPr>
          <c:invertIfNegative val="0"/>
          <c:cat>
            <c:strRef>
              <c:f>LPG!$B$10:$B$21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LPG!$AX$10:$AX$21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937-4B98-AA1C-6B973FA86189}"/>
            </c:ext>
          </c:extLst>
        </c:ser>
        <c:dLbls>
          <c:showLegendKey val="0"/>
          <c:showVal val="0"/>
          <c:showCatName val="0"/>
          <c:showSerName val="0"/>
          <c:showPercent val="0"/>
          <c:showBubbleSize val="0"/>
        </c:dLbls>
        <c:gapWidth val="150"/>
        <c:overlap val="100"/>
        <c:axId val="50903680"/>
        <c:axId val="50909568"/>
      </c:barChart>
      <c:catAx>
        <c:axId val="50903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909568"/>
        <c:crosses val="autoZero"/>
        <c:auto val="1"/>
        <c:lblAlgn val="ctr"/>
        <c:lblOffset val="100"/>
        <c:tickLblSkip val="1"/>
        <c:tickMarkSkip val="1"/>
        <c:noMultiLvlLbl val="0"/>
      </c:catAx>
      <c:valAx>
        <c:axId val="50909568"/>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da-DK"/>
                  <a:t>Monthly LPG Deliveries [litres]</a:t>
                </a:r>
              </a:p>
            </c:rich>
          </c:tx>
          <c:layout>
            <c:manualLayout>
              <c:xMode val="edge"/>
              <c:yMode val="edge"/>
              <c:x val="3.3932135728542916E-2"/>
              <c:y val="0.2394369154559905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903680"/>
        <c:crosses val="autoZero"/>
        <c:crossBetween val="between"/>
      </c:valAx>
      <c:spPr>
        <a:noFill/>
        <a:ln w="12700">
          <a:solidFill>
            <a:srgbClr val="808080"/>
          </a:solidFill>
          <a:prstDash val="solid"/>
        </a:ln>
      </c:spPr>
    </c:plotArea>
    <c:legend>
      <c:legendPos val="b"/>
      <c:layout>
        <c:manualLayout>
          <c:xMode val="edge"/>
          <c:yMode val="edge"/>
          <c:x val="0.2383252982359727"/>
          <c:y val="0.9259560923514607"/>
          <c:w val="0.67447617082468103"/>
          <c:h val="6.100416608433153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LPG Costs</a:t>
            </a:r>
          </a:p>
        </c:rich>
      </c:tx>
      <c:layout>
        <c:manualLayout>
          <c:xMode val="edge"/>
          <c:yMode val="edge"/>
          <c:x val="0.41967955812752317"/>
          <c:y val="3.3898305084745763E-2"/>
        </c:manualLayout>
      </c:layout>
      <c:overlay val="0"/>
      <c:spPr>
        <a:noFill/>
        <a:ln w="25400">
          <a:noFill/>
        </a:ln>
      </c:spPr>
    </c:title>
    <c:autoTitleDeleted val="0"/>
    <c:plotArea>
      <c:layout>
        <c:manualLayout>
          <c:layoutTarget val="inner"/>
          <c:xMode val="edge"/>
          <c:yMode val="edge"/>
          <c:x val="0.14734030024550723"/>
          <c:y val="0.1503316949935313"/>
          <c:w val="0.82447870137379575"/>
          <c:h val="0.66886710671034921"/>
        </c:manualLayout>
      </c:layout>
      <c:barChart>
        <c:barDir val="col"/>
        <c:grouping val="stacked"/>
        <c:varyColors val="0"/>
        <c:ser>
          <c:idx val="2"/>
          <c:order val="0"/>
          <c:tx>
            <c:strRef>
              <c:f>LPG!$AO$8</c:f>
              <c:strCache>
                <c:ptCount val="1"/>
                <c:pt idx="0">
                  <c:v>Delivery 1</c:v>
                </c:pt>
              </c:strCache>
            </c:strRef>
          </c:tx>
          <c:spPr>
            <a:solidFill>
              <a:srgbClr val="3366FF"/>
            </a:solidFill>
            <a:ln w="12700">
              <a:solidFill>
                <a:srgbClr val="008080"/>
              </a:solidFill>
              <a:prstDash val="solid"/>
            </a:ln>
          </c:spPr>
          <c:invertIfNegative val="0"/>
          <c:cat>
            <c:strRef>
              <c:f>LPG!$B$10:$B$21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LPG!$AO$10:$AO$21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5BE-4AE2-8A00-8C4469B66EC8}"/>
            </c:ext>
          </c:extLst>
        </c:ser>
        <c:ser>
          <c:idx val="0"/>
          <c:order val="1"/>
          <c:tx>
            <c:strRef>
              <c:f>LPG!$AP$8</c:f>
              <c:strCache>
                <c:ptCount val="1"/>
                <c:pt idx="0">
                  <c:v>Delivery 2</c:v>
                </c:pt>
              </c:strCache>
            </c:strRef>
          </c:tx>
          <c:spPr>
            <a:solidFill>
              <a:srgbClr val="993366"/>
            </a:solidFill>
            <a:ln w="12700">
              <a:solidFill>
                <a:srgbClr val="993366"/>
              </a:solidFill>
              <a:prstDash val="solid"/>
            </a:ln>
          </c:spPr>
          <c:invertIfNegative val="0"/>
          <c:val>
            <c:numRef>
              <c:f>LPG!$AP$10:$AP$21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F5BE-4AE2-8A00-8C4469B66EC8}"/>
            </c:ext>
          </c:extLst>
        </c:ser>
        <c:ser>
          <c:idx val="1"/>
          <c:order val="2"/>
          <c:tx>
            <c:strRef>
              <c:f>LPG!$AQ$8</c:f>
              <c:strCache>
                <c:ptCount val="1"/>
                <c:pt idx="0">
                  <c:v>Delivery 3</c:v>
                </c:pt>
              </c:strCache>
            </c:strRef>
          </c:tx>
          <c:spPr>
            <a:solidFill>
              <a:srgbClr val="FF9900"/>
            </a:solidFill>
            <a:ln w="12700">
              <a:solidFill>
                <a:srgbClr val="FF9900"/>
              </a:solidFill>
              <a:prstDash val="solid"/>
            </a:ln>
          </c:spPr>
          <c:invertIfNegative val="0"/>
          <c:val>
            <c:numRef>
              <c:f>LPG!$AQ$10:$AQ$21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F5BE-4AE2-8A00-8C4469B66EC8}"/>
            </c:ext>
          </c:extLst>
        </c:ser>
        <c:ser>
          <c:idx val="3"/>
          <c:order val="3"/>
          <c:tx>
            <c:strRef>
              <c:f>LPG!$AR$8</c:f>
              <c:strCache>
                <c:ptCount val="1"/>
                <c:pt idx="0">
                  <c:v>Delivery 4</c:v>
                </c:pt>
              </c:strCache>
            </c:strRef>
          </c:tx>
          <c:spPr>
            <a:solidFill>
              <a:srgbClr val="33CCCC"/>
            </a:solidFill>
            <a:ln w="12700">
              <a:solidFill>
                <a:srgbClr val="33CCCC"/>
              </a:solidFill>
              <a:prstDash val="solid"/>
            </a:ln>
          </c:spPr>
          <c:invertIfNegative val="0"/>
          <c:val>
            <c:numRef>
              <c:f>LPG!$AR$10:$AR$21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F5BE-4AE2-8A00-8C4469B66EC8}"/>
            </c:ext>
          </c:extLst>
        </c:ser>
        <c:ser>
          <c:idx val="4"/>
          <c:order val="4"/>
          <c:tx>
            <c:strRef>
              <c:f>LPG!$AS$8</c:f>
              <c:strCache>
                <c:ptCount val="1"/>
                <c:pt idx="0">
                  <c:v>Delivery 5</c:v>
                </c:pt>
              </c:strCache>
            </c:strRef>
          </c:tx>
          <c:spPr>
            <a:solidFill>
              <a:srgbClr val="FFFF00"/>
            </a:solidFill>
            <a:ln w="12700">
              <a:solidFill>
                <a:srgbClr val="FFFF00"/>
              </a:solidFill>
              <a:prstDash val="solid"/>
            </a:ln>
          </c:spPr>
          <c:invertIfNegative val="0"/>
          <c:val>
            <c:numRef>
              <c:f>LPG!$AS$10:$AS$21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F5BE-4AE2-8A00-8C4469B66EC8}"/>
            </c:ext>
          </c:extLst>
        </c:ser>
        <c:dLbls>
          <c:showLegendKey val="0"/>
          <c:showVal val="0"/>
          <c:showCatName val="0"/>
          <c:showSerName val="0"/>
          <c:showPercent val="0"/>
          <c:showBubbleSize val="0"/>
        </c:dLbls>
        <c:gapWidth val="150"/>
        <c:overlap val="100"/>
        <c:axId val="49301376"/>
        <c:axId val="49302912"/>
      </c:barChart>
      <c:catAx>
        <c:axId val="49301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302912"/>
        <c:crosses val="autoZero"/>
        <c:auto val="1"/>
        <c:lblAlgn val="ctr"/>
        <c:lblOffset val="100"/>
        <c:tickLblSkip val="1"/>
        <c:tickMarkSkip val="1"/>
        <c:noMultiLvlLbl val="0"/>
      </c:catAx>
      <c:valAx>
        <c:axId val="49302912"/>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da-DK"/>
                  <a:t>Monthly LPG Charge (net VAT)</a:t>
                </a:r>
              </a:p>
            </c:rich>
          </c:tx>
          <c:layout>
            <c:manualLayout>
              <c:xMode val="edge"/>
              <c:yMode val="edge"/>
              <c:x val="3.4136546184738957E-2"/>
              <c:y val="0.2372887287394160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9301376"/>
        <c:crosses val="autoZero"/>
        <c:crossBetween val="between"/>
      </c:valAx>
      <c:spPr>
        <a:noFill/>
        <a:ln w="12700">
          <a:solidFill>
            <a:srgbClr val="808080"/>
          </a:solidFill>
          <a:prstDash val="solid"/>
        </a:ln>
      </c:spPr>
    </c:plotArea>
    <c:legend>
      <c:legendPos val="b"/>
      <c:layout>
        <c:manualLayout>
          <c:xMode val="edge"/>
          <c:yMode val="edge"/>
          <c:x val="0.22571280037609615"/>
          <c:y val="0.92377737213416322"/>
          <c:w val="0.67870585113090032"/>
          <c:h val="6.100416608433153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LPG Consumption KPI</a:t>
            </a:r>
          </a:p>
        </c:rich>
      </c:tx>
      <c:layout>
        <c:manualLayout>
          <c:xMode val="edge"/>
          <c:yMode val="edge"/>
          <c:x val="0.33735003004142555"/>
          <c:y val="3.1862745098039214E-2"/>
        </c:manualLayout>
      </c:layout>
      <c:overlay val="0"/>
      <c:spPr>
        <a:noFill/>
        <a:ln w="25400">
          <a:noFill/>
        </a:ln>
      </c:spPr>
    </c:title>
    <c:autoTitleDeleted val="0"/>
    <c:plotArea>
      <c:layout>
        <c:manualLayout>
          <c:layoutTarget val="inner"/>
          <c:xMode val="edge"/>
          <c:yMode val="edge"/>
          <c:x val="0.12183161590331755"/>
          <c:y val="0.13725523048605642"/>
          <c:w val="0.85005781029782856"/>
          <c:h val="0.69853108372368"/>
        </c:manualLayout>
      </c:layout>
      <c:barChart>
        <c:barDir val="col"/>
        <c:grouping val="clustered"/>
        <c:varyColors val="0"/>
        <c:ser>
          <c:idx val="0"/>
          <c:order val="0"/>
          <c:tx>
            <c:strRef>
              <c:f>KPI!$R$21</c:f>
              <c:strCache>
                <c:ptCount val="1"/>
                <c:pt idx="0">
                  <c:v>[kWh/]</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KPI!$R$22:$R$33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C1F-4E73-86C3-DC21369AF19E}"/>
            </c:ext>
          </c:extLst>
        </c:ser>
        <c:dLbls>
          <c:showLegendKey val="0"/>
          <c:showVal val="0"/>
          <c:showCatName val="0"/>
          <c:showSerName val="0"/>
          <c:showPercent val="0"/>
          <c:showBubbleSize val="0"/>
        </c:dLbls>
        <c:gapWidth val="150"/>
        <c:axId val="51249536"/>
        <c:axId val="51251072"/>
      </c:barChart>
      <c:catAx>
        <c:axId val="51249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251072"/>
        <c:crosses val="autoZero"/>
        <c:auto val="1"/>
        <c:lblAlgn val="ctr"/>
        <c:lblOffset val="100"/>
        <c:tickLblSkip val="1"/>
        <c:tickMarkSkip val="1"/>
        <c:noMultiLvlLbl val="0"/>
      </c:catAx>
      <c:valAx>
        <c:axId val="51251072"/>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2.0080321285140562E-2"/>
              <c:y val="0.4509814214399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249536"/>
        <c:crosses val="autoZero"/>
        <c:crossBetween val="between"/>
      </c:valAx>
      <c:spPr>
        <a:noFill/>
        <a:ln w="12700">
          <a:solidFill>
            <a:srgbClr val="808080"/>
          </a:solidFill>
          <a:prstDash val="solid"/>
        </a:ln>
      </c:spPr>
    </c:plotArea>
    <c:legend>
      <c:legendPos val="b"/>
      <c:layout>
        <c:manualLayout>
          <c:xMode val="edge"/>
          <c:yMode val="edge"/>
          <c:x val="0.16301480027162502"/>
          <c:y val="0.92237711337175554"/>
          <c:w val="0.78685990131111316"/>
          <c:h val="6.818393445869239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LPG Cost KPI</a:t>
            </a:r>
          </a:p>
        </c:rich>
      </c:tx>
      <c:layout>
        <c:manualLayout>
          <c:xMode val="edge"/>
          <c:yMode val="edge"/>
          <c:x val="0.40040241448692154"/>
          <c:y val="3.1862745098039214E-2"/>
        </c:manualLayout>
      </c:layout>
      <c:overlay val="0"/>
      <c:spPr>
        <a:noFill/>
        <a:ln w="25400">
          <a:noFill/>
        </a:ln>
      </c:spPr>
    </c:title>
    <c:autoTitleDeleted val="0"/>
    <c:plotArea>
      <c:layout>
        <c:manualLayout>
          <c:layoutTarget val="inner"/>
          <c:xMode val="edge"/>
          <c:yMode val="edge"/>
          <c:x val="0.1274388104868534"/>
          <c:y val="0.13235325796869726"/>
          <c:w val="0.84439224686286196"/>
          <c:h val="0.70343305624103913"/>
        </c:manualLayout>
      </c:layout>
      <c:barChart>
        <c:barDir val="col"/>
        <c:grouping val="clustered"/>
        <c:varyColors val="0"/>
        <c:ser>
          <c:idx val="0"/>
          <c:order val="0"/>
          <c:tx>
            <c:strRef>
              <c:f>KPI!$AD$21</c:f>
              <c:strCache>
                <c:ptCount val="1"/>
                <c:pt idx="0">
                  <c:v>[$/]</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KPI!$AD$22:$AD$33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964-4184-8BD8-B72B9E7BB2E4}"/>
            </c:ext>
          </c:extLst>
        </c:ser>
        <c:dLbls>
          <c:showLegendKey val="0"/>
          <c:showVal val="0"/>
          <c:showCatName val="0"/>
          <c:showSerName val="0"/>
          <c:showPercent val="0"/>
          <c:showBubbleSize val="0"/>
        </c:dLbls>
        <c:gapWidth val="150"/>
        <c:axId val="51289088"/>
        <c:axId val="51299072"/>
      </c:barChart>
      <c:catAx>
        <c:axId val="51289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299072"/>
        <c:crosses val="autoZero"/>
        <c:auto val="1"/>
        <c:lblAlgn val="ctr"/>
        <c:lblOffset val="100"/>
        <c:tickLblSkip val="1"/>
        <c:tickMarkSkip val="1"/>
        <c:noMultiLvlLbl val="0"/>
      </c:catAx>
      <c:valAx>
        <c:axId val="51299072"/>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2.0120724346076459E-2"/>
              <c:y val="0.4485304410478101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289088"/>
        <c:crosses val="autoZero"/>
        <c:crossBetween val="between"/>
      </c:valAx>
      <c:spPr>
        <a:noFill/>
        <a:ln w="12700">
          <a:solidFill>
            <a:srgbClr val="808080"/>
          </a:solidFill>
          <a:prstDash val="solid"/>
        </a:ln>
      </c:spPr>
    </c:plotArea>
    <c:legend>
      <c:legendPos val="b"/>
      <c:layout>
        <c:manualLayout>
          <c:xMode val="edge"/>
          <c:yMode val="edge"/>
          <c:x val="0.17896975081214592"/>
          <c:y val="0.92237711337175554"/>
          <c:w val="0.78809486761137937"/>
          <c:h val="6.439593809987614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Oil Deliveries (~Consumption)</a:t>
            </a:r>
          </a:p>
        </c:rich>
      </c:tx>
      <c:layout>
        <c:manualLayout>
          <c:xMode val="edge"/>
          <c:yMode val="edge"/>
          <c:x val="0.27845592471672748"/>
          <c:y val="3.3802816901408447E-2"/>
        </c:manualLayout>
      </c:layout>
      <c:overlay val="0"/>
      <c:spPr>
        <a:noFill/>
        <a:ln w="25400">
          <a:noFill/>
        </a:ln>
      </c:spPr>
    </c:title>
    <c:autoTitleDeleted val="0"/>
    <c:plotArea>
      <c:layout>
        <c:manualLayout>
          <c:layoutTarget val="inner"/>
          <c:xMode val="edge"/>
          <c:yMode val="edge"/>
          <c:x val="0.14603658353696353"/>
          <c:y val="0.15468913542812637"/>
          <c:w val="0.82542416781761985"/>
          <c:h val="0.66450966627575414"/>
        </c:manualLayout>
      </c:layout>
      <c:barChart>
        <c:barDir val="col"/>
        <c:grouping val="stacked"/>
        <c:varyColors val="0"/>
        <c:ser>
          <c:idx val="2"/>
          <c:order val="0"/>
          <c:tx>
            <c:strRef>
              <c:f>Oil!$AN$8</c:f>
              <c:strCache>
                <c:ptCount val="1"/>
                <c:pt idx="0">
                  <c:v>Delivery 1</c:v>
                </c:pt>
              </c:strCache>
            </c:strRef>
          </c:tx>
          <c:spPr>
            <a:solidFill>
              <a:srgbClr val="3366FF"/>
            </a:solidFill>
            <a:ln w="12700">
              <a:solidFill>
                <a:srgbClr val="008080"/>
              </a:solidFill>
              <a:prstDash val="solid"/>
            </a:ln>
          </c:spPr>
          <c:invertIfNegative val="0"/>
          <c:cat>
            <c:strRef>
              <c:f>Oil!$B$10:$B$21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Oil!$AN$10:$AN$21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61B-4A82-8C33-493AB647BB1F}"/>
            </c:ext>
          </c:extLst>
        </c:ser>
        <c:ser>
          <c:idx val="0"/>
          <c:order val="1"/>
          <c:tx>
            <c:strRef>
              <c:f>Oil!$AO$8</c:f>
              <c:strCache>
                <c:ptCount val="1"/>
                <c:pt idx="0">
                  <c:v>Delivery 2</c:v>
                </c:pt>
              </c:strCache>
            </c:strRef>
          </c:tx>
          <c:spPr>
            <a:solidFill>
              <a:srgbClr val="993366"/>
            </a:solidFill>
            <a:ln w="12700">
              <a:solidFill>
                <a:srgbClr val="993366"/>
              </a:solidFill>
              <a:prstDash val="solid"/>
            </a:ln>
          </c:spPr>
          <c:invertIfNegative val="0"/>
          <c:cat>
            <c:strRef>
              <c:f>Oil!$B$10:$B$21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Oil!$AO$10:$AO$21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61B-4A82-8C33-493AB647BB1F}"/>
            </c:ext>
          </c:extLst>
        </c:ser>
        <c:ser>
          <c:idx val="1"/>
          <c:order val="2"/>
          <c:tx>
            <c:strRef>
              <c:f>Oil!$AP$8</c:f>
              <c:strCache>
                <c:ptCount val="1"/>
                <c:pt idx="0">
                  <c:v>Delivery 3</c:v>
                </c:pt>
              </c:strCache>
            </c:strRef>
          </c:tx>
          <c:spPr>
            <a:solidFill>
              <a:srgbClr val="FF9900"/>
            </a:solidFill>
            <a:ln w="12700">
              <a:solidFill>
                <a:srgbClr val="FF9900"/>
              </a:solidFill>
              <a:prstDash val="solid"/>
            </a:ln>
          </c:spPr>
          <c:invertIfNegative val="0"/>
          <c:cat>
            <c:strRef>
              <c:f>Oil!$B$10:$B$21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Oil!$AP$10:$AP$21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D61B-4A82-8C33-493AB647BB1F}"/>
            </c:ext>
          </c:extLst>
        </c:ser>
        <c:ser>
          <c:idx val="3"/>
          <c:order val="3"/>
          <c:tx>
            <c:strRef>
              <c:f>Oil!$AQ$8</c:f>
              <c:strCache>
                <c:ptCount val="1"/>
                <c:pt idx="0">
                  <c:v>Delivery 4</c:v>
                </c:pt>
              </c:strCache>
            </c:strRef>
          </c:tx>
          <c:spPr>
            <a:solidFill>
              <a:srgbClr val="33CCCC"/>
            </a:solidFill>
            <a:ln w="12700">
              <a:solidFill>
                <a:srgbClr val="33CCCC"/>
              </a:solidFill>
              <a:prstDash val="solid"/>
            </a:ln>
          </c:spPr>
          <c:invertIfNegative val="0"/>
          <c:cat>
            <c:strRef>
              <c:f>Oil!$B$10:$B$21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Oil!$AQ$10:$AQ$21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61B-4A82-8C33-493AB647BB1F}"/>
            </c:ext>
          </c:extLst>
        </c:ser>
        <c:ser>
          <c:idx val="4"/>
          <c:order val="4"/>
          <c:tx>
            <c:strRef>
              <c:f>Oil!$AR$8</c:f>
              <c:strCache>
                <c:ptCount val="1"/>
                <c:pt idx="0">
                  <c:v>Delivery 5</c:v>
                </c:pt>
              </c:strCache>
            </c:strRef>
          </c:tx>
          <c:spPr>
            <a:solidFill>
              <a:srgbClr val="FFFF00"/>
            </a:solidFill>
            <a:ln w="12700">
              <a:solidFill>
                <a:srgbClr val="FFFF00"/>
              </a:solidFill>
              <a:prstDash val="solid"/>
            </a:ln>
          </c:spPr>
          <c:invertIfNegative val="0"/>
          <c:cat>
            <c:strRef>
              <c:f>Oil!$B$10:$B$21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Oil!$AR$10:$AR$21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D61B-4A82-8C33-493AB647BB1F}"/>
            </c:ext>
          </c:extLst>
        </c:ser>
        <c:dLbls>
          <c:showLegendKey val="0"/>
          <c:showVal val="0"/>
          <c:showCatName val="0"/>
          <c:showSerName val="0"/>
          <c:showPercent val="0"/>
          <c:showBubbleSize val="0"/>
        </c:dLbls>
        <c:gapWidth val="150"/>
        <c:overlap val="100"/>
        <c:axId val="51391104"/>
        <c:axId val="51396992"/>
      </c:barChart>
      <c:catAx>
        <c:axId val="51391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396992"/>
        <c:crosses val="autoZero"/>
        <c:auto val="1"/>
        <c:lblAlgn val="ctr"/>
        <c:lblOffset val="100"/>
        <c:tickLblSkip val="1"/>
        <c:tickMarkSkip val="1"/>
        <c:noMultiLvlLbl val="0"/>
      </c:catAx>
      <c:valAx>
        <c:axId val="51396992"/>
        <c:scaling>
          <c:orientation val="minMax"/>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a-DK"/>
                  <a:t>Monthly Oil Deliveries [litres]</a:t>
                </a:r>
              </a:p>
            </c:rich>
          </c:tx>
          <c:layout>
            <c:manualLayout>
              <c:xMode val="edge"/>
              <c:yMode val="edge"/>
              <c:x val="3.048780487804878E-2"/>
              <c:y val="0.250704521089793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391104"/>
        <c:crosses val="autoZero"/>
        <c:crossBetween val="between"/>
      </c:valAx>
      <c:spPr>
        <a:noFill/>
        <a:ln w="12700">
          <a:solidFill>
            <a:srgbClr val="808080"/>
          </a:solidFill>
          <a:prstDash val="solid"/>
        </a:ln>
      </c:spPr>
    </c:plotArea>
    <c:legend>
      <c:legendPos val="b"/>
      <c:layout>
        <c:manualLayout>
          <c:xMode val="edge"/>
          <c:yMode val="edge"/>
          <c:x val="0.23016635448760553"/>
          <c:y val="0.92377737213416322"/>
          <c:w val="0.68732435512505652"/>
          <c:h val="6.100416608433153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da-DK"/>
              <a:t>Oil Costs</a:t>
            </a:r>
          </a:p>
        </c:rich>
      </c:tx>
      <c:layout>
        <c:manualLayout>
          <c:xMode val="edge"/>
          <c:yMode val="edge"/>
          <c:x val="0.43265348974235363"/>
          <c:y val="3.3802816901408447E-2"/>
        </c:manualLayout>
      </c:layout>
      <c:overlay val="0"/>
      <c:spPr>
        <a:noFill/>
        <a:ln w="25400">
          <a:noFill/>
        </a:ln>
      </c:spPr>
    </c:title>
    <c:autoTitleDeleted val="0"/>
    <c:plotArea>
      <c:layout>
        <c:manualLayout>
          <c:layoutTarget val="inner"/>
          <c:xMode val="edge"/>
          <c:yMode val="edge"/>
          <c:x val="0.14650156380929455"/>
          <c:y val="0.15217894923550221"/>
          <c:w val="0.82327509227614437"/>
          <c:h val="0.66741339164713098"/>
        </c:manualLayout>
      </c:layout>
      <c:barChart>
        <c:barDir val="col"/>
        <c:grouping val="stacked"/>
        <c:varyColors val="0"/>
        <c:ser>
          <c:idx val="2"/>
          <c:order val="0"/>
          <c:tx>
            <c:strRef>
              <c:f>Oil!$AI$8</c:f>
              <c:strCache>
                <c:ptCount val="1"/>
                <c:pt idx="0">
                  <c:v>Delivery 1</c:v>
                </c:pt>
              </c:strCache>
            </c:strRef>
          </c:tx>
          <c:spPr>
            <a:solidFill>
              <a:srgbClr val="3366FF"/>
            </a:solidFill>
            <a:ln w="12700">
              <a:solidFill>
                <a:srgbClr val="008080"/>
              </a:solidFill>
              <a:prstDash val="solid"/>
            </a:ln>
          </c:spPr>
          <c:invertIfNegative val="0"/>
          <c:cat>
            <c:strRef>
              <c:f>Oil!$B$10:$B$21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Oil!$AI$10:$AI$21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9DC-479F-97A7-94F43B46868F}"/>
            </c:ext>
          </c:extLst>
        </c:ser>
        <c:ser>
          <c:idx val="0"/>
          <c:order val="1"/>
          <c:tx>
            <c:strRef>
              <c:f>Oil!$AJ$8</c:f>
              <c:strCache>
                <c:ptCount val="1"/>
                <c:pt idx="0">
                  <c:v>Delivery 2</c:v>
                </c:pt>
              </c:strCache>
            </c:strRef>
          </c:tx>
          <c:spPr>
            <a:solidFill>
              <a:srgbClr val="993366"/>
            </a:solidFill>
            <a:ln w="12700">
              <a:solidFill>
                <a:srgbClr val="993366"/>
              </a:solidFill>
              <a:prstDash val="solid"/>
            </a:ln>
          </c:spPr>
          <c:invertIfNegative val="0"/>
          <c:val>
            <c:numRef>
              <c:f>Oil!$AJ$10:$AJ$21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9DC-479F-97A7-94F43B46868F}"/>
            </c:ext>
          </c:extLst>
        </c:ser>
        <c:ser>
          <c:idx val="1"/>
          <c:order val="2"/>
          <c:tx>
            <c:strRef>
              <c:f>Oil!$AK$8</c:f>
              <c:strCache>
                <c:ptCount val="1"/>
                <c:pt idx="0">
                  <c:v>Delivery 3</c:v>
                </c:pt>
              </c:strCache>
            </c:strRef>
          </c:tx>
          <c:spPr>
            <a:solidFill>
              <a:srgbClr val="FF9900"/>
            </a:solidFill>
            <a:ln w="12700">
              <a:solidFill>
                <a:srgbClr val="FF9900"/>
              </a:solidFill>
              <a:prstDash val="solid"/>
            </a:ln>
          </c:spPr>
          <c:invertIfNegative val="0"/>
          <c:val>
            <c:numRef>
              <c:f>Oil!$AK$10:$AK$21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C9DC-479F-97A7-94F43B46868F}"/>
            </c:ext>
          </c:extLst>
        </c:ser>
        <c:ser>
          <c:idx val="3"/>
          <c:order val="3"/>
          <c:tx>
            <c:strRef>
              <c:f>Oil!$AL$8</c:f>
              <c:strCache>
                <c:ptCount val="1"/>
                <c:pt idx="0">
                  <c:v>Delivery 4</c:v>
                </c:pt>
              </c:strCache>
            </c:strRef>
          </c:tx>
          <c:spPr>
            <a:solidFill>
              <a:srgbClr val="33CCCC"/>
            </a:solidFill>
            <a:ln w="12700">
              <a:solidFill>
                <a:srgbClr val="33CCCC"/>
              </a:solidFill>
              <a:prstDash val="solid"/>
            </a:ln>
          </c:spPr>
          <c:invertIfNegative val="0"/>
          <c:val>
            <c:numRef>
              <c:f>Oil!$AL$10:$AL$21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C9DC-479F-97A7-94F43B46868F}"/>
            </c:ext>
          </c:extLst>
        </c:ser>
        <c:ser>
          <c:idx val="4"/>
          <c:order val="4"/>
          <c:tx>
            <c:strRef>
              <c:f>Oil!$AM$8</c:f>
              <c:strCache>
                <c:ptCount val="1"/>
                <c:pt idx="0">
                  <c:v>Delivery 5</c:v>
                </c:pt>
              </c:strCache>
            </c:strRef>
          </c:tx>
          <c:spPr>
            <a:solidFill>
              <a:srgbClr val="FFFF00"/>
            </a:solidFill>
            <a:ln w="12700">
              <a:solidFill>
                <a:srgbClr val="FFFF00"/>
              </a:solidFill>
              <a:prstDash val="solid"/>
            </a:ln>
          </c:spPr>
          <c:invertIfNegative val="0"/>
          <c:val>
            <c:numRef>
              <c:f>Oil!$AM$10:$AM$21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C9DC-479F-97A7-94F43B46868F}"/>
            </c:ext>
          </c:extLst>
        </c:ser>
        <c:dLbls>
          <c:showLegendKey val="0"/>
          <c:showVal val="0"/>
          <c:showCatName val="0"/>
          <c:showSerName val="0"/>
          <c:showPercent val="0"/>
          <c:showBubbleSize val="0"/>
        </c:dLbls>
        <c:gapWidth val="150"/>
        <c:overlap val="100"/>
        <c:axId val="51459968"/>
        <c:axId val="51461504"/>
      </c:barChart>
      <c:catAx>
        <c:axId val="51459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461504"/>
        <c:crosses val="autoZero"/>
        <c:auto val="1"/>
        <c:lblAlgn val="ctr"/>
        <c:lblOffset val="100"/>
        <c:tickLblSkip val="1"/>
        <c:tickMarkSkip val="1"/>
        <c:noMultiLvlLbl val="0"/>
      </c:catAx>
      <c:valAx>
        <c:axId val="51461504"/>
        <c:scaling>
          <c:orientation val="minMax"/>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a-DK"/>
                  <a:t>Monthly Oil Charge (net VAT)</a:t>
                </a:r>
              </a:p>
            </c:rich>
          </c:tx>
          <c:layout>
            <c:manualLayout>
              <c:xMode val="edge"/>
              <c:yMode val="edge"/>
              <c:x val="3.2653061224489799E-2"/>
              <c:y val="0.2450707182728919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459968"/>
        <c:crosses val="autoZero"/>
        <c:crossBetween val="between"/>
      </c:valAx>
      <c:spPr>
        <a:noFill/>
        <a:ln w="12700">
          <a:solidFill>
            <a:srgbClr val="808080"/>
          </a:solidFill>
          <a:prstDash val="solid"/>
        </a:ln>
      </c:spPr>
    </c:plotArea>
    <c:legend>
      <c:legendPos val="b"/>
      <c:layout>
        <c:manualLayout>
          <c:xMode val="edge"/>
          <c:yMode val="edge"/>
          <c:x val="0.22930679552759142"/>
          <c:y val="0.92394362035840616"/>
          <c:w val="0.68951279488504935"/>
          <c:h val="6.087157969420087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Oil Consumption KPI</a:t>
            </a:r>
          </a:p>
        </c:rich>
      </c:tx>
      <c:layout>
        <c:manualLayout>
          <c:xMode val="edge"/>
          <c:yMode val="edge"/>
          <c:x val="0.34693920402806788"/>
          <c:y val="3.1862745098039214E-2"/>
        </c:manualLayout>
      </c:layout>
      <c:overlay val="0"/>
      <c:spPr>
        <a:noFill/>
        <a:ln w="25400">
          <a:noFill/>
        </a:ln>
      </c:spPr>
    </c:title>
    <c:autoTitleDeleted val="0"/>
    <c:plotArea>
      <c:layout>
        <c:manualLayout>
          <c:layoutTarget val="inner"/>
          <c:xMode val="edge"/>
          <c:yMode val="edge"/>
          <c:x val="0.13469401177257231"/>
          <c:y val="0.13725523048605642"/>
          <c:w val="0.83673552767810078"/>
          <c:h val="0.69853108372368"/>
        </c:manualLayout>
      </c:layout>
      <c:barChart>
        <c:barDir val="col"/>
        <c:grouping val="clustered"/>
        <c:varyColors val="0"/>
        <c:ser>
          <c:idx val="0"/>
          <c:order val="0"/>
          <c:tx>
            <c:strRef>
              <c:f>KPI!$S$21</c:f>
              <c:strCache>
                <c:ptCount val="1"/>
                <c:pt idx="0">
                  <c:v>[kWh/]</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KPI!$S$22:$S$33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1CB-44B3-93F2-6C17ED89E23D}"/>
            </c:ext>
          </c:extLst>
        </c:ser>
        <c:dLbls>
          <c:showLegendKey val="0"/>
          <c:showVal val="0"/>
          <c:showCatName val="0"/>
          <c:showSerName val="0"/>
          <c:showPercent val="0"/>
          <c:showBubbleSize val="0"/>
        </c:dLbls>
        <c:gapWidth val="150"/>
        <c:axId val="51491200"/>
        <c:axId val="51492736"/>
      </c:barChart>
      <c:catAx>
        <c:axId val="51491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492736"/>
        <c:crosses val="autoZero"/>
        <c:auto val="1"/>
        <c:lblAlgn val="ctr"/>
        <c:lblOffset val="100"/>
        <c:tickLblSkip val="1"/>
        <c:tickMarkSkip val="1"/>
        <c:noMultiLvlLbl val="0"/>
      </c:catAx>
      <c:valAx>
        <c:axId val="51492736"/>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2.0408163265306121E-2"/>
              <c:y val="0.4509814214399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491200"/>
        <c:crosses val="autoZero"/>
        <c:crossBetween val="between"/>
      </c:valAx>
      <c:spPr>
        <a:noFill/>
        <a:ln w="12700">
          <a:solidFill>
            <a:srgbClr val="808080"/>
          </a:solidFill>
          <a:prstDash val="solid"/>
        </a:ln>
      </c:spPr>
    </c:plotArea>
    <c:legend>
      <c:legendPos val="b"/>
      <c:layout>
        <c:manualLayout>
          <c:xMode val="edge"/>
          <c:yMode val="edge"/>
          <c:x val="0.15127878871611936"/>
          <c:y val="0.92616510973057176"/>
          <c:w val="0.79938896774202028"/>
          <c:h val="6.439593809987614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Oil Cost KPI</a:t>
            </a:r>
          </a:p>
        </c:rich>
      </c:tx>
      <c:layout>
        <c:manualLayout>
          <c:xMode val="edge"/>
          <c:yMode val="edge"/>
          <c:x val="0.40899881379858188"/>
          <c:y val="3.1662269129287601E-2"/>
        </c:manualLayout>
      </c:layout>
      <c:overlay val="0"/>
      <c:spPr>
        <a:noFill/>
        <a:ln w="25400">
          <a:noFill/>
        </a:ln>
      </c:spPr>
    </c:title>
    <c:autoTitleDeleted val="0"/>
    <c:plotArea>
      <c:layout>
        <c:manualLayout>
          <c:layoutTarget val="inner"/>
          <c:xMode val="edge"/>
          <c:yMode val="edge"/>
          <c:x val="0.13557053113652409"/>
          <c:y val="0.14286171470866768"/>
          <c:w val="0.8341575033459071"/>
          <c:h val="0.68981799387899534"/>
        </c:manualLayout>
      </c:layout>
      <c:barChart>
        <c:barDir val="col"/>
        <c:grouping val="clustered"/>
        <c:varyColors val="0"/>
        <c:ser>
          <c:idx val="0"/>
          <c:order val="0"/>
          <c:tx>
            <c:strRef>
              <c:f>KPI!$AE$21</c:f>
              <c:strCache>
                <c:ptCount val="1"/>
                <c:pt idx="0">
                  <c:v>[$/]</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KPI!$AE$22:$AE$33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EEE-46F9-96DA-CCBBFFD27AB9}"/>
            </c:ext>
          </c:extLst>
        </c:ser>
        <c:dLbls>
          <c:showLegendKey val="0"/>
          <c:showVal val="0"/>
          <c:showCatName val="0"/>
          <c:showSerName val="0"/>
          <c:showPercent val="0"/>
          <c:showBubbleSize val="0"/>
        </c:dLbls>
        <c:gapWidth val="150"/>
        <c:axId val="51071616"/>
        <c:axId val="51077504"/>
      </c:barChart>
      <c:catAx>
        <c:axId val="51071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077504"/>
        <c:crosses val="autoZero"/>
        <c:auto val="1"/>
        <c:lblAlgn val="ctr"/>
        <c:lblOffset val="100"/>
        <c:tickLblSkip val="1"/>
        <c:tickMarkSkip val="1"/>
        <c:noMultiLvlLbl val="0"/>
      </c:catAx>
      <c:valAx>
        <c:axId val="51077504"/>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2.0449897750511249E-2"/>
              <c:y val="0.4459108442579242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071616"/>
        <c:crosses val="autoZero"/>
        <c:crossBetween val="between"/>
      </c:valAx>
      <c:spPr>
        <a:noFill/>
        <a:ln w="12700">
          <a:solidFill>
            <a:srgbClr val="808080"/>
          </a:solidFill>
          <a:prstDash val="solid"/>
        </a:ln>
      </c:spPr>
    </c:plotArea>
    <c:legend>
      <c:legendPos val="b"/>
      <c:layout>
        <c:manualLayout>
          <c:xMode val="edge"/>
          <c:yMode val="edge"/>
          <c:x val="0.15630484766328659"/>
          <c:y val="0.92043761905155885"/>
          <c:w val="0.80066360741805997"/>
          <c:h val="6.938997571563856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da-DK"/>
              <a:t>Electricity Costs</a:t>
            </a:r>
          </a:p>
        </c:rich>
      </c:tx>
      <c:layout>
        <c:manualLayout>
          <c:xMode val="edge"/>
          <c:yMode val="edge"/>
          <c:x val="0.39238445359892926"/>
          <c:y val="3.1746031746031744E-2"/>
        </c:manualLayout>
      </c:layout>
      <c:overlay val="0"/>
      <c:spPr>
        <a:noFill/>
        <a:ln w="25400">
          <a:noFill/>
        </a:ln>
      </c:spPr>
    </c:title>
    <c:autoTitleDeleted val="0"/>
    <c:plotArea>
      <c:layout>
        <c:manualLayout>
          <c:layoutTarget val="inner"/>
          <c:xMode val="edge"/>
          <c:yMode val="edge"/>
          <c:x val="0.12525482925745393"/>
          <c:y val="0.13088347054090274"/>
          <c:w val="0.8579814675943287"/>
          <c:h val="0.67691294920373135"/>
        </c:manualLayout>
      </c:layout>
      <c:barChart>
        <c:barDir val="col"/>
        <c:grouping val="stacked"/>
        <c:varyColors val="0"/>
        <c:ser>
          <c:idx val="0"/>
          <c:order val="0"/>
          <c:tx>
            <c:strRef>
              <c:f>Electricity!$BU$8</c:f>
              <c:strCache>
                <c:ptCount val="1"/>
                <c:pt idx="0">
                  <c:v>Day Units</c:v>
                </c:pt>
              </c:strCache>
            </c:strRef>
          </c:tx>
          <c:spPr>
            <a:solidFill>
              <a:srgbClr val="3366FF"/>
            </a:solidFill>
            <a:ln w="12700">
              <a:solidFill>
                <a:srgbClr val="3366FF"/>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Electricity!$BU$10:$BU$21</c:f>
              <c:numCache>
                <c:formatCode>#,##0</c:formatCode>
                <c:ptCount val="12"/>
                <c:pt idx="0">
                  <c:v>38509.91794680457</c:v>
                </c:pt>
                <c:pt idx="1">
                  <c:v>36426.261009049704</c:v>
                </c:pt>
                <c:pt idx="2">
                  <c:v>30728.234184912984</c:v>
                </c:pt>
                <c:pt idx="3">
                  <c:v>37060.3219416379</c:v>
                </c:pt>
                <c:pt idx="4">
                  <c:v>50324.976083517817</c:v>
                </c:pt>
                <c:pt idx="5">
                  <c:v>66311.149533900563</c:v>
                </c:pt>
                <c:pt idx="6">
                  <c:v>58728.612944548004</c:v>
                </c:pt>
                <c:pt idx="7">
                  <c:v>68145.948362571944</c:v>
                </c:pt>
                <c:pt idx="8">
                  <c:v>76625.865728407269</c:v>
                </c:pt>
                <c:pt idx="9">
                  <c:v>67812.948810082642</c:v>
                </c:pt>
                <c:pt idx="10">
                  <c:v>72965.680283456008</c:v>
                </c:pt>
                <c:pt idx="11">
                  <c:v>71010.24185343417</c:v>
                </c:pt>
              </c:numCache>
            </c:numRef>
          </c:val>
          <c:extLst>
            <c:ext xmlns:c16="http://schemas.microsoft.com/office/drawing/2014/chart" uri="{C3380CC4-5D6E-409C-BE32-E72D297353CC}">
              <c16:uniqueId val="{00000000-EAB1-4CCD-8EBB-B69BCBA1DF06}"/>
            </c:ext>
          </c:extLst>
        </c:ser>
        <c:ser>
          <c:idx val="1"/>
          <c:order val="1"/>
          <c:tx>
            <c:strRef>
              <c:f>Electricity!$BV$8</c:f>
              <c:strCache>
                <c:ptCount val="1"/>
                <c:pt idx="0">
                  <c:v>Night Units</c:v>
                </c:pt>
              </c:strCache>
            </c:strRef>
          </c:tx>
          <c:spPr>
            <a:solidFill>
              <a:srgbClr val="993366"/>
            </a:solidFill>
            <a:ln w="12700">
              <a:solidFill>
                <a:srgbClr val="993366"/>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Electricity!$BV$10:$BV$21</c:f>
              <c:numCache>
                <c:formatCode>#,##0</c:formatCode>
                <c:ptCount val="12"/>
                <c:pt idx="0">
                  <c:v>27.948183048147389</c:v>
                </c:pt>
                <c:pt idx="1">
                  <c:v>2181.1412394116533</c:v>
                </c:pt>
                <c:pt idx="2">
                  <c:v>4581.4710607684519</c:v>
                </c:pt>
                <c:pt idx="3">
                  <c:v>5123.9013923438461</c:v>
                </c:pt>
                <c:pt idx="4">
                  <c:v>4954.7188966166359</c:v>
                </c:pt>
                <c:pt idx="5">
                  <c:v>31.807379124438786</c:v>
                </c:pt>
                <c:pt idx="6">
                  <c:v>2939.4977719469957</c:v>
                </c:pt>
                <c:pt idx="7">
                  <c:v>8124.4059221135931</c:v>
                </c:pt>
                <c:pt idx="8">
                  <c:v>8529.8592140724359</c:v>
                </c:pt>
                <c:pt idx="9">
                  <c:v>743.55102724417679</c:v>
                </c:pt>
                <c:pt idx="10">
                  <c:v>9277.0464224555617</c:v>
                </c:pt>
                <c:pt idx="11">
                  <c:v>3152.9288539906825</c:v>
                </c:pt>
              </c:numCache>
            </c:numRef>
          </c:val>
          <c:extLst>
            <c:ext xmlns:c16="http://schemas.microsoft.com/office/drawing/2014/chart" uri="{C3380CC4-5D6E-409C-BE32-E72D297353CC}">
              <c16:uniqueId val="{00000001-EAB1-4CCD-8EBB-B69BCBA1DF06}"/>
            </c:ext>
          </c:extLst>
        </c:ser>
        <c:ser>
          <c:idx val="8"/>
          <c:order val="2"/>
          <c:tx>
            <c:v>Weekend Units</c:v>
          </c:tx>
          <c:spPr>
            <a:solidFill>
              <a:srgbClr val="FF9900"/>
            </a:solidFill>
            <a:ln w="12700">
              <a:solidFill>
                <a:srgbClr val="FF9900"/>
              </a:solidFill>
              <a:prstDash val="solid"/>
            </a:ln>
          </c:spPr>
          <c:invertIfNegative val="0"/>
          <c:val>
            <c:numRef>
              <c:f>Electricity!$AF$10:$AF$21</c:f>
              <c:numCache>
                <c:formatCode>#,##0</c:formatCode>
                <c:ptCount val="12"/>
                <c:pt idx="0">
                  <c:v>535.17668547874507</c:v>
                </c:pt>
                <c:pt idx="1">
                  <c:v>167.84440304085919</c:v>
                </c:pt>
                <c:pt idx="2">
                  <c:v>1874.0399737707776</c:v>
                </c:pt>
                <c:pt idx="3">
                  <c:v>3290.5383878088478</c:v>
                </c:pt>
                <c:pt idx="4">
                  <c:v>217.17056592933668</c:v>
                </c:pt>
                <c:pt idx="5">
                  <c:v>727.8253763601009</c:v>
                </c:pt>
                <c:pt idx="6">
                  <c:v>3498.0140157136011</c:v>
                </c:pt>
                <c:pt idx="7">
                  <c:v>706.79124476596155</c:v>
                </c:pt>
                <c:pt idx="8">
                  <c:v>1474.4631916976987</c:v>
                </c:pt>
                <c:pt idx="9">
                  <c:v>6891.4598921550751</c:v>
                </c:pt>
                <c:pt idx="10">
                  <c:v>651.24469196195389</c:v>
                </c:pt>
                <c:pt idx="11">
                  <c:v>1419.481804746958</c:v>
                </c:pt>
              </c:numCache>
            </c:numRef>
          </c:val>
          <c:extLst>
            <c:ext xmlns:c16="http://schemas.microsoft.com/office/drawing/2014/chart" uri="{C3380CC4-5D6E-409C-BE32-E72D297353CC}">
              <c16:uniqueId val="{00000002-EAB1-4CCD-8EBB-B69BCBA1DF06}"/>
            </c:ext>
          </c:extLst>
        </c:ser>
        <c:ser>
          <c:idx val="2"/>
          <c:order val="3"/>
          <c:tx>
            <c:strRef>
              <c:f>Electricity!$BW$8</c:f>
              <c:strCache>
                <c:ptCount val="1"/>
                <c:pt idx="0">
                  <c:v>Import or Service Capacity Charge</c:v>
                </c:pt>
              </c:strCache>
            </c:strRef>
          </c:tx>
          <c:spPr>
            <a:solidFill>
              <a:srgbClr val="FF6600"/>
            </a:solidFill>
            <a:ln w="12700">
              <a:solidFill>
                <a:srgbClr val="FF6600"/>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Electricity!$BW$10:$BW$21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AB1-4CCD-8EBB-B69BCBA1DF06}"/>
            </c:ext>
          </c:extLst>
        </c:ser>
        <c:ser>
          <c:idx val="3"/>
          <c:order val="4"/>
          <c:tx>
            <c:strRef>
              <c:f>Electricity!$BX$8</c:f>
              <c:strCache>
                <c:ptCount val="1"/>
                <c:pt idx="0">
                  <c:v>Excess Capacity Charge</c:v>
                </c:pt>
              </c:strCache>
            </c:strRef>
          </c:tx>
          <c:spPr>
            <a:solidFill>
              <a:srgbClr val="33CCCC"/>
            </a:solidFill>
            <a:ln w="12700">
              <a:solidFill>
                <a:srgbClr val="33CCCC"/>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Electricity!$BX$10:$BX$21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EAB1-4CCD-8EBB-B69BCBA1DF06}"/>
            </c:ext>
          </c:extLst>
        </c:ser>
        <c:ser>
          <c:idx val="4"/>
          <c:order val="5"/>
          <c:tx>
            <c:strRef>
              <c:f>Electricity!$BY$8</c:f>
              <c:strCache>
                <c:ptCount val="1"/>
                <c:pt idx="0">
                  <c:v>Maximum Demand Charge</c:v>
                </c:pt>
              </c:strCache>
            </c:strRef>
          </c:tx>
          <c:spPr>
            <a:solidFill>
              <a:srgbClr val="FFFF00"/>
            </a:solidFill>
            <a:ln w="12700">
              <a:solidFill>
                <a:srgbClr val="FFFF00"/>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Electricity!$BY$10:$BY$21</c:f>
              <c:numCache>
                <c:formatCode>#,##0</c:formatCode>
                <c:ptCount val="12"/>
                <c:pt idx="0">
                  <c:v>166.666666666667</c:v>
                </c:pt>
                <c:pt idx="1">
                  <c:v>166.666666666667</c:v>
                </c:pt>
                <c:pt idx="2">
                  <c:v>166.666666666667</c:v>
                </c:pt>
                <c:pt idx="3">
                  <c:v>166.666666666667</c:v>
                </c:pt>
                <c:pt idx="4">
                  <c:v>166.666666666667</c:v>
                </c:pt>
                <c:pt idx="5">
                  <c:v>166.666666666667</c:v>
                </c:pt>
                <c:pt idx="6">
                  <c:v>166.666666666667</c:v>
                </c:pt>
                <c:pt idx="7">
                  <c:v>166.666666666667</c:v>
                </c:pt>
                <c:pt idx="8">
                  <c:v>166.666666666667</c:v>
                </c:pt>
                <c:pt idx="9">
                  <c:v>166.666666666667</c:v>
                </c:pt>
                <c:pt idx="10">
                  <c:v>166.666666666667</c:v>
                </c:pt>
                <c:pt idx="11">
                  <c:v>166.666666666667</c:v>
                </c:pt>
              </c:numCache>
            </c:numRef>
          </c:val>
          <c:extLst>
            <c:ext xmlns:c16="http://schemas.microsoft.com/office/drawing/2014/chart" uri="{C3380CC4-5D6E-409C-BE32-E72D297353CC}">
              <c16:uniqueId val="{00000005-EAB1-4CCD-8EBB-B69BCBA1DF06}"/>
            </c:ext>
          </c:extLst>
        </c:ser>
        <c:ser>
          <c:idx val="5"/>
          <c:order val="6"/>
          <c:tx>
            <c:strRef>
              <c:f>Electricity!$BZ$8</c:f>
              <c:strCache>
                <c:ptCount val="1"/>
                <c:pt idx="0">
                  <c:v>Wattless Charge</c:v>
                </c:pt>
              </c:strCache>
            </c:strRef>
          </c:tx>
          <c:spPr>
            <a:solidFill>
              <a:srgbClr val="FF8080"/>
            </a:solidFill>
            <a:ln w="12700">
              <a:solidFill>
                <a:srgbClr val="FF8080"/>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Electricity!$BZ$10:$BZ$21</c:f>
              <c:numCache>
                <c:formatCode>#,##0</c:formatCode>
                <c:ptCount val="12"/>
                <c:pt idx="0">
                  <c:v>300</c:v>
                </c:pt>
                <c:pt idx="1">
                  <c:v>300</c:v>
                </c:pt>
                <c:pt idx="2">
                  <c:v>300</c:v>
                </c:pt>
                <c:pt idx="3">
                  <c:v>300</c:v>
                </c:pt>
                <c:pt idx="4">
                  <c:v>300</c:v>
                </c:pt>
                <c:pt idx="5">
                  <c:v>300</c:v>
                </c:pt>
                <c:pt idx="6">
                  <c:v>300</c:v>
                </c:pt>
                <c:pt idx="7">
                  <c:v>300</c:v>
                </c:pt>
                <c:pt idx="8">
                  <c:v>300</c:v>
                </c:pt>
                <c:pt idx="9">
                  <c:v>300</c:v>
                </c:pt>
                <c:pt idx="10">
                  <c:v>300</c:v>
                </c:pt>
                <c:pt idx="11">
                  <c:v>300</c:v>
                </c:pt>
              </c:numCache>
            </c:numRef>
          </c:val>
          <c:extLst>
            <c:ext xmlns:c16="http://schemas.microsoft.com/office/drawing/2014/chart" uri="{C3380CC4-5D6E-409C-BE32-E72D297353CC}">
              <c16:uniqueId val="{00000006-EAB1-4CCD-8EBB-B69BCBA1DF06}"/>
            </c:ext>
          </c:extLst>
        </c:ser>
        <c:ser>
          <c:idx val="6"/>
          <c:order val="7"/>
          <c:tx>
            <c:strRef>
              <c:f>Electricity!$CA$8</c:f>
              <c:strCache>
                <c:ptCount val="1"/>
                <c:pt idx="0">
                  <c:v>PSO Levy Charge</c:v>
                </c:pt>
              </c:strCache>
            </c:strRef>
          </c:tx>
          <c:spPr>
            <a:solidFill>
              <a:srgbClr val="800000"/>
            </a:solidFill>
            <a:ln w="12700">
              <a:solidFill>
                <a:srgbClr val="800000"/>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Electricity!$CA$10:$CA$21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7-EAB1-4CCD-8EBB-B69BCBA1DF06}"/>
            </c:ext>
          </c:extLst>
        </c:ser>
        <c:ser>
          <c:idx val="7"/>
          <c:order val="8"/>
          <c:tx>
            <c:strRef>
              <c:f>Electricity!$CB$8</c:f>
              <c:strCache>
                <c:ptCount val="1"/>
                <c:pt idx="0">
                  <c:v>All Standing Charge(s)</c:v>
                </c:pt>
              </c:strCache>
            </c:strRef>
          </c:tx>
          <c:spPr>
            <a:solidFill>
              <a:srgbClr val="0000FF"/>
            </a:solidFill>
            <a:ln w="12700">
              <a:solidFill>
                <a:srgbClr val="0000FF"/>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Electricity!$CB$10:$CB$21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8-EAB1-4CCD-8EBB-B69BCBA1DF06}"/>
            </c:ext>
          </c:extLst>
        </c:ser>
        <c:dLbls>
          <c:showLegendKey val="0"/>
          <c:showVal val="0"/>
          <c:showCatName val="0"/>
          <c:showSerName val="0"/>
          <c:showPercent val="0"/>
          <c:showBubbleSize val="0"/>
        </c:dLbls>
        <c:gapWidth val="150"/>
        <c:overlap val="100"/>
        <c:axId val="50267648"/>
        <c:axId val="50269184"/>
      </c:barChart>
      <c:catAx>
        <c:axId val="50267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69184"/>
        <c:crosses val="autoZero"/>
        <c:auto val="1"/>
        <c:lblAlgn val="ctr"/>
        <c:lblOffset val="100"/>
        <c:tickLblSkip val="1"/>
        <c:tickMarkSkip val="1"/>
        <c:noMultiLvlLbl val="0"/>
      </c:catAx>
      <c:valAx>
        <c:axId val="5026918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da-DK"/>
                  <a:t>Monthly Electricity Charge (net VAT)</a:t>
                </a:r>
              </a:p>
            </c:rich>
          </c:tx>
          <c:layout>
            <c:manualLayout>
              <c:xMode val="edge"/>
              <c:yMode val="edge"/>
              <c:x val="1.4900662251655629E-2"/>
              <c:y val="0.1560849338277159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267648"/>
        <c:crosses val="autoZero"/>
        <c:crossBetween val="between"/>
      </c:valAx>
      <c:spPr>
        <a:noFill/>
        <a:ln w="12700">
          <a:solidFill>
            <a:srgbClr val="808080"/>
          </a:solidFill>
          <a:prstDash val="solid"/>
        </a:ln>
      </c:spPr>
    </c:plotArea>
    <c:legend>
      <c:legendPos val="b"/>
      <c:layout>
        <c:manualLayout>
          <c:xMode val="edge"/>
          <c:yMode val="edge"/>
          <c:x val="0.15504381830416133"/>
          <c:y val="0.8752832092422872"/>
          <c:w val="0.83723661884247114"/>
          <c:h val="0.1145230367232899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a-DK"/>
              <a:t>Total Energy Consumption</a:t>
            </a:r>
          </a:p>
        </c:rich>
      </c:tx>
      <c:layout>
        <c:manualLayout>
          <c:xMode val="edge"/>
          <c:yMode val="edge"/>
          <c:x val="0.32612347749376586"/>
          <c:y val="3.2828282828282832E-2"/>
        </c:manualLayout>
      </c:layout>
      <c:overlay val="0"/>
      <c:spPr>
        <a:noFill/>
        <a:ln w="25400">
          <a:noFill/>
        </a:ln>
      </c:spPr>
    </c:title>
    <c:autoTitleDeleted val="0"/>
    <c:plotArea>
      <c:layout>
        <c:manualLayout>
          <c:layoutTarget val="inner"/>
          <c:xMode val="edge"/>
          <c:yMode val="edge"/>
          <c:x val="0.1732829689506897"/>
          <c:y val="0.1543016636212384"/>
          <c:w val="0.80337123750488637"/>
          <c:h val="0.68556815102600865"/>
        </c:manualLayout>
      </c:layout>
      <c:barChart>
        <c:barDir val="col"/>
        <c:grouping val="stacked"/>
        <c:varyColors val="0"/>
        <c:ser>
          <c:idx val="0"/>
          <c:order val="0"/>
          <c:tx>
            <c:strRef>
              <c:f>Sum!$AB$8</c:f>
              <c:strCache>
                <c:ptCount val="1"/>
                <c:pt idx="0">
                  <c:v>Electricity</c:v>
                </c:pt>
              </c:strCache>
            </c:strRef>
          </c:tx>
          <c:spPr>
            <a:solidFill>
              <a:srgbClr val="3366FF"/>
            </a:solidFill>
            <a:ln w="12700">
              <a:solidFill>
                <a:srgbClr val="008080"/>
              </a:solidFill>
              <a:prstDash val="solid"/>
            </a:ln>
          </c:spPr>
          <c:invertIfNegative val="0"/>
          <c:cat>
            <c:strRef>
              <c:f>Sum!$B$10:$B$21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Sum!$AB$10:$AB$21</c:f>
              <c:numCache>
                <c:formatCode>#,##0</c:formatCode>
                <c:ptCount val="12"/>
                <c:pt idx="0">
                  <c:v>921954.00000000023</c:v>
                </c:pt>
                <c:pt idx="1">
                  <c:v>926046.00000000012</c:v>
                </c:pt>
                <c:pt idx="2">
                  <c:v>934136</c:v>
                </c:pt>
                <c:pt idx="3">
                  <c:v>1154254</c:v>
                </c:pt>
                <c:pt idx="4">
                  <c:v>1339322.0000000002</c:v>
                </c:pt>
                <c:pt idx="5">
                  <c:v>1579478.9999999998</c:v>
                </c:pt>
                <c:pt idx="6">
                  <c:v>1173908</c:v>
                </c:pt>
                <c:pt idx="7">
                  <c:v>1374111</c:v>
                </c:pt>
                <c:pt idx="8">
                  <c:v>1550682.0000000002</c:v>
                </c:pt>
                <c:pt idx="9">
                  <c:v>1376402</c:v>
                </c:pt>
                <c:pt idx="10">
                  <c:v>1481494.0000000002</c:v>
                </c:pt>
                <c:pt idx="11">
                  <c:v>1329942</c:v>
                </c:pt>
              </c:numCache>
            </c:numRef>
          </c:val>
          <c:extLst>
            <c:ext xmlns:c16="http://schemas.microsoft.com/office/drawing/2014/chart" uri="{C3380CC4-5D6E-409C-BE32-E72D297353CC}">
              <c16:uniqueId val="{00000000-3C72-4FE5-8344-FC86835B39B6}"/>
            </c:ext>
          </c:extLst>
        </c:ser>
        <c:ser>
          <c:idx val="1"/>
          <c:order val="1"/>
          <c:tx>
            <c:strRef>
              <c:f>Sum!$AC$8</c:f>
              <c:strCache>
                <c:ptCount val="1"/>
                <c:pt idx="0">
                  <c:v>Natural Gas</c:v>
                </c:pt>
              </c:strCache>
            </c:strRef>
          </c:tx>
          <c:spPr>
            <a:solidFill>
              <a:srgbClr val="993366"/>
            </a:solidFill>
            <a:ln w="12700">
              <a:solidFill>
                <a:srgbClr val="993366"/>
              </a:solidFill>
              <a:prstDash val="solid"/>
            </a:ln>
          </c:spPr>
          <c:invertIfNegative val="0"/>
          <c:cat>
            <c:strRef>
              <c:f>Sum!$B$10:$B$21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Sum!$AC$10:$AC$21</c:f>
              <c:numCache>
                <c:formatCode>#,##0</c:formatCode>
                <c:ptCount val="12"/>
                <c:pt idx="0">
                  <c:v>624712.5</c:v>
                </c:pt>
                <c:pt idx="1">
                  <c:v>791088.75</c:v>
                </c:pt>
                <c:pt idx="2">
                  <c:v>905433.75</c:v>
                </c:pt>
                <c:pt idx="3">
                  <c:v>918855</c:v>
                </c:pt>
                <c:pt idx="4">
                  <c:v>1447920</c:v>
                </c:pt>
                <c:pt idx="5">
                  <c:v>1440956.25</c:v>
                </c:pt>
                <c:pt idx="6">
                  <c:v>845336.25</c:v>
                </c:pt>
                <c:pt idx="7">
                  <c:v>847586.25</c:v>
                </c:pt>
                <c:pt idx="8">
                  <c:v>832162.5</c:v>
                </c:pt>
                <c:pt idx="9">
                  <c:v>942648.75</c:v>
                </c:pt>
                <c:pt idx="10">
                  <c:v>1057635</c:v>
                </c:pt>
                <c:pt idx="11">
                  <c:v>1068750</c:v>
                </c:pt>
              </c:numCache>
            </c:numRef>
          </c:val>
          <c:extLst>
            <c:ext xmlns:c16="http://schemas.microsoft.com/office/drawing/2014/chart" uri="{C3380CC4-5D6E-409C-BE32-E72D297353CC}">
              <c16:uniqueId val="{00000001-3C72-4FE5-8344-FC86835B39B6}"/>
            </c:ext>
          </c:extLst>
        </c:ser>
        <c:ser>
          <c:idx val="2"/>
          <c:order val="2"/>
          <c:tx>
            <c:strRef>
              <c:f>Sum!$AD$8</c:f>
              <c:strCache>
                <c:ptCount val="1"/>
                <c:pt idx="0">
                  <c:v>LPG</c:v>
                </c:pt>
              </c:strCache>
            </c:strRef>
          </c:tx>
          <c:spPr>
            <a:solidFill>
              <a:srgbClr val="FF9900"/>
            </a:solidFill>
            <a:ln w="12700">
              <a:solidFill>
                <a:srgbClr val="FF9900"/>
              </a:solidFill>
              <a:prstDash val="solid"/>
            </a:ln>
          </c:spPr>
          <c:invertIfNegative val="0"/>
          <c:cat>
            <c:strRef>
              <c:f>Sum!$B$10:$B$21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Sum!$AD$10:$AD$21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3C72-4FE5-8344-FC86835B39B6}"/>
            </c:ext>
          </c:extLst>
        </c:ser>
        <c:ser>
          <c:idx val="3"/>
          <c:order val="3"/>
          <c:tx>
            <c:strRef>
              <c:f>Sum!$AE$8</c:f>
              <c:strCache>
                <c:ptCount val="1"/>
                <c:pt idx="0">
                  <c:v>Oil</c:v>
                </c:pt>
              </c:strCache>
            </c:strRef>
          </c:tx>
          <c:spPr>
            <a:solidFill>
              <a:srgbClr val="33CCCC"/>
            </a:solidFill>
            <a:ln w="12700">
              <a:solidFill>
                <a:srgbClr val="33CCCC"/>
              </a:solidFill>
              <a:prstDash val="solid"/>
            </a:ln>
          </c:spPr>
          <c:invertIfNegative val="0"/>
          <c:cat>
            <c:strRef>
              <c:f>Sum!$B$10:$B$21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Sum!$AE$10:$AE$21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3C72-4FE5-8344-FC86835B39B6}"/>
            </c:ext>
          </c:extLst>
        </c:ser>
        <c:dLbls>
          <c:showLegendKey val="0"/>
          <c:showVal val="0"/>
          <c:showCatName val="0"/>
          <c:showSerName val="0"/>
          <c:showPercent val="0"/>
          <c:showBubbleSize val="0"/>
        </c:dLbls>
        <c:gapWidth val="150"/>
        <c:overlap val="100"/>
        <c:axId val="51172480"/>
        <c:axId val="51174016"/>
      </c:barChart>
      <c:catAx>
        <c:axId val="51172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174016"/>
        <c:crosses val="autoZero"/>
        <c:auto val="1"/>
        <c:lblAlgn val="ctr"/>
        <c:lblOffset val="100"/>
        <c:tickLblSkip val="1"/>
        <c:tickMarkSkip val="1"/>
        <c:noMultiLvlLbl val="0"/>
      </c:catAx>
      <c:valAx>
        <c:axId val="51174016"/>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da-DK"/>
                  <a:t>Monthly</a:t>
                </a:r>
                <a:r>
                  <a:rPr lang="da-DK" baseline="0"/>
                  <a:t> </a:t>
                </a:r>
                <a:r>
                  <a:rPr lang="da-DK"/>
                  <a:t>Consumption [kWh]</a:t>
                </a:r>
              </a:p>
            </c:rich>
          </c:tx>
          <c:layout>
            <c:manualLayout>
              <c:xMode val="edge"/>
              <c:yMode val="edge"/>
              <c:x val="2.4958402662229616E-2"/>
              <c:y val="0.1388891540072642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172480"/>
        <c:crosses val="autoZero"/>
        <c:crossBetween val="between"/>
      </c:valAx>
      <c:spPr>
        <a:noFill/>
        <a:ln w="12700">
          <a:solidFill>
            <a:srgbClr val="808080"/>
          </a:solidFill>
          <a:prstDash val="solid"/>
        </a:ln>
      </c:spPr>
    </c:plotArea>
    <c:legend>
      <c:legendPos val="b"/>
      <c:layout>
        <c:manualLayout>
          <c:xMode val="edge"/>
          <c:yMode val="edge"/>
          <c:x val="0.25195597902985362"/>
          <c:y val="0.92971635295834776"/>
          <c:w val="0.54287422285813813"/>
          <c:h val="5.468919723284399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a-DK"/>
              <a:t>Total Energy Costs</a:t>
            </a:r>
          </a:p>
        </c:rich>
      </c:tx>
      <c:layout>
        <c:manualLayout>
          <c:xMode val="edge"/>
          <c:yMode val="edge"/>
          <c:x val="0.37479322547368144"/>
          <c:y val="3.2663316582914576E-2"/>
        </c:manualLayout>
      </c:layout>
      <c:overlay val="0"/>
      <c:spPr>
        <a:noFill/>
        <a:ln w="25400">
          <a:noFill/>
        </a:ln>
      </c:spPr>
    </c:title>
    <c:autoTitleDeleted val="0"/>
    <c:plotArea>
      <c:layout>
        <c:manualLayout>
          <c:layoutTarget val="inner"/>
          <c:xMode val="edge"/>
          <c:yMode val="edge"/>
          <c:x val="0.14722129395629263"/>
          <c:y val="0.14369397238170509"/>
          <c:w val="0.82949396743178982"/>
          <c:h val="0.69516813665743804"/>
        </c:manualLayout>
      </c:layout>
      <c:barChart>
        <c:barDir val="col"/>
        <c:grouping val="stacked"/>
        <c:varyColors val="0"/>
        <c:ser>
          <c:idx val="0"/>
          <c:order val="0"/>
          <c:tx>
            <c:strRef>
              <c:f>Sum!$X$8</c:f>
              <c:strCache>
                <c:ptCount val="1"/>
                <c:pt idx="0">
                  <c:v>Electricity</c:v>
                </c:pt>
              </c:strCache>
            </c:strRef>
          </c:tx>
          <c:spPr>
            <a:solidFill>
              <a:srgbClr val="008080"/>
            </a:solidFill>
            <a:ln w="12700">
              <a:solidFill>
                <a:srgbClr val="008080"/>
              </a:solidFill>
              <a:prstDash val="solid"/>
            </a:ln>
          </c:spPr>
          <c:invertIfNegative val="0"/>
          <c:cat>
            <c:strRef>
              <c:f>Sum!$B$10:$B$21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Sum!$X$10:$X$21</c:f>
              <c:numCache>
                <c:formatCode>#,##0</c:formatCode>
                <c:ptCount val="12"/>
                <c:pt idx="0">
                  <c:v>39539.709481998121</c:v>
                </c:pt>
                <c:pt idx="1">
                  <c:v>39241.913318168881</c:v>
                </c:pt>
                <c:pt idx="2">
                  <c:v>37650.411886118884</c:v>
                </c:pt>
                <c:pt idx="3">
                  <c:v>45941.428388457258</c:v>
                </c:pt>
                <c:pt idx="4">
                  <c:v>55963.532212730453</c:v>
                </c:pt>
                <c:pt idx="5">
                  <c:v>67537.448956051769</c:v>
                </c:pt>
                <c:pt idx="6">
                  <c:v>65632.79139887527</c:v>
                </c:pt>
                <c:pt idx="7">
                  <c:v>77443.812196118175</c:v>
                </c:pt>
                <c:pt idx="8">
                  <c:v>87096.85480084407</c:v>
                </c:pt>
                <c:pt idx="9">
                  <c:v>75914.626396148567</c:v>
                </c:pt>
                <c:pt idx="10">
                  <c:v>83360.638064540195</c:v>
                </c:pt>
                <c:pt idx="11">
                  <c:v>76049.319178838487</c:v>
                </c:pt>
              </c:numCache>
            </c:numRef>
          </c:val>
          <c:extLst>
            <c:ext xmlns:c16="http://schemas.microsoft.com/office/drawing/2014/chart" uri="{C3380CC4-5D6E-409C-BE32-E72D297353CC}">
              <c16:uniqueId val="{00000000-582A-44C7-AED6-910D2C854447}"/>
            </c:ext>
          </c:extLst>
        </c:ser>
        <c:ser>
          <c:idx val="1"/>
          <c:order val="1"/>
          <c:tx>
            <c:strRef>
              <c:f>Sum!$Y$8</c:f>
              <c:strCache>
                <c:ptCount val="1"/>
                <c:pt idx="0">
                  <c:v>Natural Gas</c:v>
                </c:pt>
              </c:strCache>
            </c:strRef>
          </c:tx>
          <c:spPr>
            <a:solidFill>
              <a:srgbClr val="993366"/>
            </a:solidFill>
            <a:ln w="12700">
              <a:solidFill>
                <a:srgbClr val="993366"/>
              </a:solidFill>
              <a:prstDash val="solid"/>
            </a:ln>
          </c:spPr>
          <c:invertIfNegative val="0"/>
          <c:cat>
            <c:strRef>
              <c:f>Sum!$B$10:$B$21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Sum!$Y$10:$Y$21</c:f>
              <c:numCache>
                <c:formatCode>#,##0</c:formatCode>
                <c:ptCount val="12"/>
                <c:pt idx="0">
                  <c:v>4271.7020204836754</c:v>
                </c:pt>
                <c:pt idx="1">
                  <c:v>5434.3497082192407</c:v>
                </c:pt>
                <c:pt idx="2">
                  <c:v>6973.2112456379491</c:v>
                </c:pt>
                <c:pt idx="3">
                  <c:v>7106.4675032693804</c:v>
                </c:pt>
                <c:pt idx="4">
                  <c:v>11153.149532778491</c:v>
                </c:pt>
                <c:pt idx="5">
                  <c:v>10819.13720463883</c:v>
                </c:pt>
                <c:pt idx="6">
                  <c:v>6301.3670415238967</c:v>
                </c:pt>
                <c:pt idx="7">
                  <c:v>6326.0818906727272</c:v>
                </c:pt>
                <c:pt idx="8">
                  <c:v>6191.4039273107037</c:v>
                </c:pt>
                <c:pt idx="9">
                  <c:v>7043.4777391147281</c:v>
                </c:pt>
                <c:pt idx="10">
                  <c:v>15375.928250689585</c:v>
                </c:pt>
                <c:pt idx="11">
                  <c:v>16741.332140790237</c:v>
                </c:pt>
              </c:numCache>
            </c:numRef>
          </c:val>
          <c:extLst>
            <c:ext xmlns:c16="http://schemas.microsoft.com/office/drawing/2014/chart" uri="{C3380CC4-5D6E-409C-BE32-E72D297353CC}">
              <c16:uniqueId val="{00000001-582A-44C7-AED6-910D2C854447}"/>
            </c:ext>
          </c:extLst>
        </c:ser>
        <c:ser>
          <c:idx val="2"/>
          <c:order val="2"/>
          <c:tx>
            <c:strRef>
              <c:f>Sum!$Z$8</c:f>
              <c:strCache>
                <c:ptCount val="1"/>
                <c:pt idx="0">
                  <c:v>LPG</c:v>
                </c:pt>
              </c:strCache>
            </c:strRef>
          </c:tx>
          <c:spPr>
            <a:solidFill>
              <a:srgbClr val="FF9900"/>
            </a:solidFill>
            <a:ln w="12700">
              <a:solidFill>
                <a:srgbClr val="FF9900"/>
              </a:solidFill>
              <a:prstDash val="solid"/>
            </a:ln>
          </c:spPr>
          <c:invertIfNegative val="0"/>
          <c:cat>
            <c:strRef>
              <c:f>Sum!$B$10:$B$21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Sum!$Z$10:$Z$21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82A-44C7-AED6-910D2C854447}"/>
            </c:ext>
          </c:extLst>
        </c:ser>
        <c:ser>
          <c:idx val="3"/>
          <c:order val="3"/>
          <c:tx>
            <c:strRef>
              <c:f>Sum!$AA$8</c:f>
              <c:strCache>
                <c:ptCount val="1"/>
                <c:pt idx="0">
                  <c:v>Oil</c:v>
                </c:pt>
              </c:strCache>
            </c:strRef>
          </c:tx>
          <c:spPr>
            <a:solidFill>
              <a:srgbClr val="33CCCC"/>
            </a:solidFill>
            <a:ln w="12700">
              <a:solidFill>
                <a:srgbClr val="33CCCC"/>
              </a:solidFill>
              <a:prstDash val="solid"/>
            </a:ln>
          </c:spPr>
          <c:invertIfNegative val="0"/>
          <c:cat>
            <c:strRef>
              <c:f>Sum!$B$10:$B$21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Sum!$AA$10:$AA$21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582A-44C7-AED6-910D2C854447}"/>
            </c:ext>
          </c:extLst>
        </c:ser>
        <c:dLbls>
          <c:showLegendKey val="0"/>
          <c:showVal val="0"/>
          <c:showCatName val="0"/>
          <c:showSerName val="0"/>
          <c:showPercent val="0"/>
          <c:showBubbleSize val="0"/>
        </c:dLbls>
        <c:gapWidth val="150"/>
        <c:overlap val="100"/>
        <c:axId val="51232128"/>
        <c:axId val="51233920"/>
      </c:barChart>
      <c:catAx>
        <c:axId val="51232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233920"/>
        <c:crosses val="autoZero"/>
        <c:auto val="1"/>
        <c:lblAlgn val="ctr"/>
        <c:lblOffset val="100"/>
        <c:tickLblSkip val="1"/>
        <c:tickMarkSkip val="1"/>
        <c:noMultiLvlLbl val="0"/>
      </c:catAx>
      <c:valAx>
        <c:axId val="51233920"/>
        <c:scaling>
          <c:orientation val="minMax"/>
        </c:scaling>
        <c:delete val="0"/>
        <c:axPos val="l"/>
        <c:majorGridlines>
          <c:spPr>
            <a:ln w="3175">
              <a:solidFill>
                <a:srgbClr val="000000"/>
              </a:solidFill>
              <a:prstDash val="solid"/>
            </a:ln>
          </c:spPr>
        </c:majorGridlines>
        <c:title>
          <c:tx>
            <c:rich>
              <a:bodyPr/>
              <a:lstStyle/>
              <a:p>
                <a:pPr>
                  <a:defRPr sz="1050" b="1" i="0" u="none" strike="noStrike" baseline="0">
                    <a:solidFill>
                      <a:srgbClr val="000000"/>
                    </a:solidFill>
                    <a:latin typeface="Arial"/>
                    <a:ea typeface="Arial"/>
                    <a:cs typeface="Arial"/>
                  </a:defRPr>
                </a:pPr>
                <a:r>
                  <a:rPr lang="da-DK"/>
                  <a:t>Monthly Energy Costs (net VAT)</a:t>
                </a:r>
              </a:p>
            </c:rich>
          </c:tx>
          <c:layout>
            <c:manualLayout>
              <c:xMode val="edge"/>
              <c:yMode val="edge"/>
              <c:x val="2.4875621890547265E-2"/>
              <c:y val="0.2035175879396984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232128"/>
        <c:crosses val="autoZero"/>
        <c:crossBetween val="between"/>
      </c:valAx>
      <c:spPr>
        <a:noFill/>
        <a:ln w="12700">
          <a:solidFill>
            <a:srgbClr val="808080"/>
          </a:solidFill>
          <a:prstDash val="solid"/>
        </a:ln>
      </c:spPr>
    </c:plotArea>
    <c:legend>
      <c:legendPos val="b"/>
      <c:layout>
        <c:manualLayout>
          <c:xMode val="edge"/>
          <c:yMode val="edge"/>
          <c:x val="0.2577802815761111"/>
          <c:y val="0.9320690100434923"/>
          <c:w val="0.60623704410864321"/>
          <c:h val="5.437069225253705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All Thermal Consumption EPI</a:t>
            </a:r>
          </a:p>
        </c:rich>
      </c:tx>
      <c:layout>
        <c:manualLayout>
          <c:xMode val="edge"/>
          <c:yMode val="edge"/>
          <c:x val="0.32778737100458116"/>
          <c:y val="3.1862745098039214E-2"/>
        </c:manualLayout>
      </c:layout>
      <c:overlay val="0"/>
      <c:spPr>
        <a:noFill/>
        <a:ln w="25400">
          <a:noFill/>
        </a:ln>
      </c:spPr>
    </c:title>
    <c:autoTitleDeleted val="0"/>
    <c:plotArea>
      <c:layout>
        <c:manualLayout>
          <c:layoutTarget val="inner"/>
          <c:xMode val="edge"/>
          <c:yMode val="edge"/>
          <c:x val="0.13419647344613839"/>
          <c:y val="0.14215720300341558"/>
          <c:w val="0.84250973781202887"/>
          <c:h val="0.69362911120632087"/>
        </c:manualLayout>
      </c:layout>
      <c:barChart>
        <c:barDir val="col"/>
        <c:grouping val="clustered"/>
        <c:varyColors val="0"/>
        <c:ser>
          <c:idx val="0"/>
          <c:order val="0"/>
          <c:tx>
            <c:strRef>
              <c:f>KPI!$T$21</c:f>
              <c:strCache>
                <c:ptCount val="1"/>
                <c:pt idx="0">
                  <c:v>[kWh/Ton]</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KPI!$T$22:$T$33</c:f>
              <c:numCache>
                <c:formatCode>#,##0.00</c:formatCode>
                <c:ptCount val="12"/>
                <c:pt idx="0">
                  <c:v>119.13352092752868</c:v>
                </c:pt>
                <c:pt idx="1">
                  <c:v>203.07234525017785</c:v>
                </c:pt>
                <c:pt idx="2">
                  <c:v>113.98775957591786</c:v>
                </c:pt>
                <c:pt idx="3">
                  <c:v>104.86780927906871</c:v>
                </c:pt>
                <c:pt idx="4">
                  <c:v>141.7382970765899</c:v>
                </c:pt>
                <c:pt idx="5">
                  <c:v>106.06446713811238</c:v>
                </c:pt>
                <c:pt idx="6">
                  <c:v>80.225593730393001</c:v>
                </c:pt>
                <c:pt idx="7">
                  <c:v>67.372442418158968</c:v>
                </c:pt>
                <c:pt idx="8">
                  <c:v>70.687923879079577</c:v>
                </c:pt>
                <c:pt idx="9">
                  <c:v>69.746423155769193</c:v>
                </c:pt>
                <c:pt idx="10">
                  <c:v>82.143467190366749</c:v>
                </c:pt>
                <c:pt idx="11">
                  <c:v>73.881435200678283</c:v>
                </c:pt>
              </c:numCache>
            </c:numRef>
          </c:val>
          <c:extLst>
            <c:ext xmlns:c16="http://schemas.microsoft.com/office/drawing/2014/chart" uri="{C3380CC4-5D6E-409C-BE32-E72D297353CC}">
              <c16:uniqueId val="{00000000-05BB-43CB-B93E-5E734DB8BB40}"/>
            </c:ext>
          </c:extLst>
        </c:ser>
        <c:dLbls>
          <c:showLegendKey val="0"/>
          <c:showVal val="0"/>
          <c:showCatName val="0"/>
          <c:showSerName val="0"/>
          <c:showPercent val="0"/>
          <c:showBubbleSize val="0"/>
        </c:dLbls>
        <c:gapWidth val="150"/>
        <c:axId val="51324416"/>
        <c:axId val="51325952"/>
      </c:barChart>
      <c:catAx>
        <c:axId val="51324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325952"/>
        <c:crosses val="autoZero"/>
        <c:auto val="1"/>
        <c:lblAlgn val="ctr"/>
        <c:lblOffset val="100"/>
        <c:tickLblSkip val="1"/>
        <c:tickMarkSkip val="1"/>
        <c:noMultiLvlLbl val="0"/>
      </c:catAx>
      <c:valAx>
        <c:axId val="51325952"/>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6638935108153077E-2"/>
              <c:y val="0.4534324018321238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324416"/>
        <c:crosses val="autoZero"/>
        <c:crossBetween val="between"/>
      </c:valAx>
      <c:spPr>
        <a:noFill/>
        <a:ln w="12700">
          <a:solidFill>
            <a:srgbClr val="808080"/>
          </a:solidFill>
          <a:prstDash val="solid"/>
        </a:ln>
      </c:spPr>
    </c:plotArea>
    <c:legend>
      <c:legendPos val="r"/>
      <c:layout>
        <c:manualLayout>
          <c:xMode val="edge"/>
          <c:yMode val="edge"/>
          <c:x val="0.215591198551318"/>
          <c:y val="0.93752909880702029"/>
          <c:w val="0.65196856429374495"/>
          <c:h val="5.303194902342742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Combined Energy Consumption EPI</a:t>
            </a:r>
          </a:p>
        </c:rich>
      </c:tx>
      <c:layout>
        <c:manualLayout>
          <c:xMode val="edge"/>
          <c:yMode val="edge"/>
          <c:x val="0.28595335282086393"/>
          <c:y val="3.1862745098039214E-2"/>
        </c:manualLayout>
      </c:layout>
      <c:overlay val="0"/>
      <c:spPr>
        <a:noFill/>
        <a:ln w="25400">
          <a:noFill/>
        </a:ln>
      </c:spPr>
    </c:title>
    <c:autoTitleDeleted val="0"/>
    <c:plotArea>
      <c:layout>
        <c:manualLayout>
          <c:layoutTarget val="inner"/>
          <c:xMode val="edge"/>
          <c:yMode val="edge"/>
          <c:x val="0.12885229299608578"/>
          <c:y val="0.1439438616350173"/>
          <c:w val="0.84770945687863786"/>
          <c:h val="0.6988853282015971"/>
        </c:manualLayout>
      </c:layout>
      <c:barChart>
        <c:barDir val="col"/>
        <c:grouping val="clustered"/>
        <c:varyColors val="0"/>
        <c:ser>
          <c:idx val="0"/>
          <c:order val="0"/>
          <c:tx>
            <c:strRef>
              <c:f>KPI!$U$21</c:f>
              <c:strCache>
                <c:ptCount val="1"/>
                <c:pt idx="0">
                  <c:v>[kWh/Ton]</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KPI!$U$22:$U$33</c:f>
              <c:numCache>
                <c:formatCode>#,##0.00</c:formatCode>
                <c:ptCount val="12"/>
                <c:pt idx="0">
                  <c:v>294.95139899659051</c:v>
                </c:pt>
                <c:pt idx="1">
                  <c:v>440.78819322494201</c:v>
                </c:pt>
                <c:pt idx="2">
                  <c:v>231.58893114612894</c:v>
                </c:pt>
                <c:pt idx="3">
                  <c:v>236.60142158090324</c:v>
                </c:pt>
                <c:pt idx="4">
                  <c:v>272.84583030854509</c:v>
                </c:pt>
                <c:pt idx="5">
                  <c:v>222.32517837819245</c:v>
                </c:pt>
                <c:pt idx="6">
                  <c:v>191.63388396384531</c:v>
                </c:pt>
                <c:pt idx="7">
                  <c:v>176.59697764824185</c:v>
                </c:pt>
                <c:pt idx="8">
                  <c:v>202.41038334662213</c:v>
                </c:pt>
                <c:pt idx="9">
                  <c:v>171.58617664236434</c:v>
                </c:pt>
                <c:pt idx="10">
                  <c:v>197.20684329055743</c:v>
                </c:pt>
                <c:pt idx="11">
                  <c:v>165.81876731170564</c:v>
                </c:pt>
              </c:numCache>
            </c:numRef>
          </c:val>
          <c:extLst>
            <c:ext xmlns:c16="http://schemas.microsoft.com/office/drawing/2014/chart" uri="{C3380CC4-5D6E-409C-BE32-E72D297353CC}">
              <c16:uniqueId val="{00000000-CEE2-4213-AAE0-567ACE142FF2}"/>
            </c:ext>
          </c:extLst>
        </c:ser>
        <c:dLbls>
          <c:showLegendKey val="0"/>
          <c:showVal val="0"/>
          <c:showCatName val="0"/>
          <c:showSerName val="0"/>
          <c:showPercent val="0"/>
          <c:showBubbleSize val="0"/>
        </c:dLbls>
        <c:gapWidth val="150"/>
        <c:axId val="51621888"/>
        <c:axId val="51623424"/>
      </c:barChart>
      <c:catAx>
        <c:axId val="516218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623424"/>
        <c:crosses val="autoZero"/>
        <c:auto val="1"/>
        <c:lblAlgn val="ctr"/>
        <c:lblOffset val="100"/>
        <c:tickLblSkip val="1"/>
        <c:tickMarkSkip val="1"/>
        <c:noMultiLvlLbl val="0"/>
      </c:catAx>
      <c:valAx>
        <c:axId val="51623424"/>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6722408026755852E-2"/>
              <c:y val="0.4558833822242807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621888"/>
        <c:crosses val="autoZero"/>
        <c:crossBetween val="between"/>
      </c:valAx>
      <c:spPr>
        <a:noFill/>
        <a:ln w="12700">
          <a:solidFill>
            <a:srgbClr val="808080"/>
          </a:solidFill>
          <a:prstDash val="solid"/>
        </a:ln>
      </c:spPr>
    </c:plotArea>
    <c:legend>
      <c:legendPos val="r"/>
      <c:layout>
        <c:manualLayout>
          <c:xMode val="edge"/>
          <c:yMode val="edge"/>
          <c:x val="0.21382661362299243"/>
          <c:y val="0.93752909880702029"/>
          <c:w val="0.65451804901672084"/>
          <c:h val="5.303194902342742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Combined Energy Cost EPI</a:t>
            </a:r>
          </a:p>
        </c:rich>
      </c:tx>
      <c:layout>
        <c:manualLayout>
          <c:xMode val="edge"/>
          <c:yMode val="edge"/>
          <c:x val="0.33943462558028831"/>
          <c:y val="3.1862745098039214E-2"/>
        </c:manualLayout>
      </c:layout>
      <c:overlay val="0"/>
      <c:spPr>
        <a:noFill/>
        <a:ln w="25400">
          <a:noFill/>
        </a:ln>
      </c:spPr>
    </c:title>
    <c:autoTitleDeleted val="0"/>
    <c:plotArea>
      <c:layout>
        <c:manualLayout>
          <c:layoutTarget val="inner"/>
          <c:xMode val="edge"/>
          <c:yMode val="edge"/>
          <c:x val="0.11978049785000282"/>
          <c:y val="0.13480424422737686"/>
          <c:w val="0.85692571340816437"/>
          <c:h val="0.70098206998235957"/>
        </c:manualLayout>
      </c:layout>
      <c:barChart>
        <c:barDir val="col"/>
        <c:grouping val="clustered"/>
        <c:varyColors val="0"/>
        <c:ser>
          <c:idx val="0"/>
          <c:order val="0"/>
          <c:tx>
            <c:strRef>
              <c:f>KPI!$AG$21</c:f>
              <c:strCache>
                <c:ptCount val="1"/>
                <c:pt idx="0">
                  <c:v>[$/Ton]</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KPI!$AG$22:$AG$33</c:f>
              <c:numCache>
                <c:formatCode>#,##0.00</c:formatCode>
                <c:ptCount val="12"/>
                <c:pt idx="0">
                  <c:v>8.3548955865225771</c:v>
                </c:pt>
                <c:pt idx="1">
                  <c:v>11.468388988950284</c:v>
                </c:pt>
                <c:pt idx="2">
                  <c:v>5.6178012195249671</c:v>
                </c:pt>
                <c:pt idx="3">
                  <c:v>6.0542921669136929</c:v>
                </c:pt>
                <c:pt idx="4">
                  <c:v>6.5701172551245142</c:v>
                </c:pt>
                <c:pt idx="5">
                  <c:v>5.7675932616935723</c:v>
                </c:pt>
                <c:pt idx="6">
                  <c:v>6.8268225459125702</c:v>
                </c:pt>
                <c:pt idx="7">
                  <c:v>6.6586525745758554</c:v>
                </c:pt>
                <c:pt idx="8">
                  <c:v>7.9243577207428659</c:v>
                </c:pt>
                <c:pt idx="9">
                  <c:v>6.1380562327361492</c:v>
                </c:pt>
                <c:pt idx="10">
                  <c:v>7.6685849991769821</c:v>
                </c:pt>
                <c:pt idx="11">
                  <c:v>6.4145089990174347</c:v>
                </c:pt>
              </c:numCache>
            </c:numRef>
          </c:val>
          <c:extLst>
            <c:ext xmlns:c16="http://schemas.microsoft.com/office/drawing/2014/chart" uri="{C3380CC4-5D6E-409C-BE32-E72D297353CC}">
              <c16:uniqueId val="{00000000-433A-444E-AD3B-BAEDF5FF502E}"/>
            </c:ext>
          </c:extLst>
        </c:ser>
        <c:dLbls>
          <c:showLegendKey val="0"/>
          <c:showVal val="0"/>
          <c:showCatName val="0"/>
          <c:showSerName val="0"/>
          <c:showPercent val="0"/>
          <c:showBubbleSize val="0"/>
        </c:dLbls>
        <c:gapWidth val="150"/>
        <c:axId val="51656960"/>
        <c:axId val="51662848"/>
      </c:barChart>
      <c:catAx>
        <c:axId val="51656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662848"/>
        <c:crosses val="autoZero"/>
        <c:auto val="1"/>
        <c:lblAlgn val="ctr"/>
        <c:lblOffset val="100"/>
        <c:tickLblSkip val="1"/>
        <c:tickMarkSkip val="1"/>
        <c:noMultiLvlLbl val="0"/>
      </c:catAx>
      <c:valAx>
        <c:axId val="51662848"/>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6638935108153077E-2"/>
              <c:y val="0.4509814214399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656960"/>
        <c:crosses val="autoZero"/>
        <c:crossBetween val="between"/>
      </c:valAx>
      <c:spPr>
        <a:noFill/>
        <a:ln w="12700">
          <a:solidFill>
            <a:srgbClr val="808080"/>
          </a:solidFill>
          <a:prstDash val="solid"/>
        </a:ln>
      </c:spPr>
    </c:plotArea>
    <c:legend>
      <c:legendPos val="b"/>
      <c:layout>
        <c:manualLayout>
          <c:xMode val="edge"/>
          <c:yMode val="edge"/>
          <c:x val="0.2259811358308996"/>
          <c:y val="0.92237711337175554"/>
          <c:w val="0.65196856429374495"/>
          <c:h val="6.818393445869239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All Thermal Energy Cost EPI</a:t>
            </a:r>
          </a:p>
        </c:rich>
      </c:tx>
      <c:layout>
        <c:manualLayout>
          <c:xMode val="edge"/>
          <c:yMode val="edge"/>
          <c:x val="0.33110403005644362"/>
          <c:y val="3.1862745098039214E-2"/>
        </c:manualLayout>
      </c:layout>
      <c:overlay val="0"/>
      <c:spPr>
        <a:noFill/>
        <a:ln w="25400">
          <a:noFill/>
        </a:ln>
      </c:spPr>
    </c:title>
    <c:autoTitleDeleted val="0"/>
    <c:plotArea>
      <c:layout>
        <c:manualLayout>
          <c:layoutTarget val="inner"/>
          <c:xMode val="edge"/>
          <c:yMode val="edge"/>
          <c:x val="0.11593172344098698"/>
          <c:y val="0.13970621674473602"/>
          <c:w val="0.86065781717124934"/>
          <c:h val="0.69608009746500044"/>
        </c:manualLayout>
      </c:layout>
      <c:barChart>
        <c:barDir val="col"/>
        <c:grouping val="clustered"/>
        <c:varyColors val="0"/>
        <c:ser>
          <c:idx val="0"/>
          <c:order val="0"/>
          <c:tx>
            <c:strRef>
              <c:f>KPI!$AF$21</c:f>
              <c:strCache>
                <c:ptCount val="1"/>
                <c:pt idx="0">
                  <c:v>[$/Ton]</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KPI!$AF$22:$AF$33</c:f>
              <c:numCache>
                <c:formatCode>#,##0.00</c:formatCode>
                <c:ptCount val="12"/>
                <c:pt idx="0">
                  <c:v>0.81461936819490322</c:v>
                </c:pt>
                <c:pt idx="1">
                  <c:v>1.3949966298442507</c:v>
                </c:pt>
                <c:pt idx="2">
                  <c:v>0.87787839468085349</c:v>
                </c:pt>
                <c:pt idx="3">
                  <c:v>0.81105253688639989</c:v>
                </c:pt>
                <c:pt idx="4">
                  <c:v>1.0917926555449111</c:v>
                </c:pt>
                <c:pt idx="5">
                  <c:v>0.79636423555825808</c:v>
                </c:pt>
                <c:pt idx="6">
                  <c:v>0.59802346370380377</c:v>
                </c:pt>
                <c:pt idx="7">
                  <c:v>0.50284391460091116</c:v>
                </c:pt>
                <c:pt idx="8">
                  <c:v>0.52592791614423062</c:v>
                </c:pt>
                <c:pt idx="9">
                  <c:v>0.52114573841055467</c:v>
                </c:pt>
                <c:pt idx="10">
                  <c:v>1.1942041042344032</c:v>
                </c:pt>
                <c:pt idx="11">
                  <c:v>1.1573086743698962</c:v>
                </c:pt>
              </c:numCache>
            </c:numRef>
          </c:val>
          <c:extLst>
            <c:ext xmlns:c16="http://schemas.microsoft.com/office/drawing/2014/chart" uri="{C3380CC4-5D6E-409C-BE32-E72D297353CC}">
              <c16:uniqueId val="{00000000-F2C5-4DF3-A60A-8F34A50392EB}"/>
            </c:ext>
          </c:extLst>
        </c:ser>
        <c:dLbls>
          <c:showLegendKey val="0"/>
          <c:showVal val="0"/>
          <c:showCatName val="0"/>
          <c:showSerName val="0"/>
          <c:showPercent val="0"/>
          <c:showBubbleSize val="0"/>
        </c:dLbls>
        <c:gapWidth val="150"/>
        <c:axId val="51691904"/>
        <c:axId val="51693440"/>
      </c:barChart>
      <c:catAx>
        <c:axId val="51691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693440"/>
        <c:crosses val="autoZero"/>
        <c:auto val="1"/>
        <c:lblAlgn val="ctr"/>
        <c:lblOffset val="100"/>
        <c:tickLblSkip val="1"/>
        <c:tickMarkSkip val="1"/>
        <c:noMultiLvlLbl val="0"/>
      </c:catAx>
      <c:valAx>
        <c:axId val="51693440"/>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6722408026755852E-2"/>
              <c:y val="0.4534324018321238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1691904"/>
        <c:crosses val="autoZero"/>
        <c:crossBetween val="between"/>
      </c:valAx>
      <c:spPr>
        <a:noFill/>
        <a:ln w="12700">
          <a:solidFill>
            <a:srgbClr val="808080"/>
          </a:solidFill>
          <a:prstDash val="solid"/>
        </a:ln>
      </c:spPr>
    </c:plotArea>
    <c:legend>
      <c:legendPos val="b"/>
      <c:layout>
        <c:manualLayout>
          <c:xMode val="edge"/>
          <c:yMode val="edge"/>
          <c:x val="0.23107804669457568"/>
          <c:y val="0.91290712247471484"/>
          <c:w val="0.65537389514506783"/>
          <c:h val="7.765392535573301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a-DK"/>
              <a:t>Annual Consumption [kWh]</a:t>
            </a:r>
          </a:p>
        </c:rich>
      </c:tx>
      <c:layout>
        <c:manualLayout>
          <c:xMode val="edge"/>
          <c:yMode val="edge"/>
          <c:x val="0.29287151244822723"/>
          <c:y val="3.0303030303030304E-2"/>
        </c:manualLayout>
      </c:layout>
      <c:overlay val="0"/>
      <c:spPr>
        <a:noFill/>
        <a:ln w="25400">
          <a:noFill/>
        </a:ln>
      </c:spPr>
    </c:title>
    <c:autoTitleDeleted val="0"/>
    <c:plotArea>
      <c:layout>
        <c:manualLayout>
          <c:layoutTarget val="inner"/>
          <c:xMode val="edge"/>
          <c:yMode val="edge"/>
          <c:x val="0.18496818943995755"/>
          <c:y val="0.14054507178286563"/>
          <c:w val="0.63009488923042456"/>
          <c:h val="0.75497929585923973"/>
        </c:manualLayout>
      </c:layout>
      <c:pieChart>
        <c:varyColors val="1"/>
        <c:ser>
          <c:idx val="0"/>
          <c:order val="0"/>
          <c:spPr>
            <a:solidFill>
              <a:srgbClr val="9999FF"/>
            </a:solidFill>
            <a:ln w="12700">
              <a:solidFill>
                <a:srgbClr val="000000"/>
              </a:solidFill>
              <a:prstDash val="solid"/>
            </a:ln>
          </c:spPr>
          <c:dPt>
            <c:idx val="0"/>
            <c:bubble3D val="0"/>
            <c:spPr>
              <a:solidFill>
                <a:srgbClr val="008080"/>
              </a:solidFill>
              <a:ln w="12700">
                <a:solidFill>
                  <a:srgbClr val="008080"/>
                </a:solidFill>
                <a:prstDash val="solid"/>
              </a:ln>
            </c:spPr>
            <c:extLst>
              <c:ext xmlns:c16="http://schemas.microsoft.com/office/drawing/2014/chart" uri="{C3380CC4-5D6E-409C-BE32-E72D297353CC}">
                <c16:uniqueId val="{00000001-E4CD-42A4-8C6F-6AE7739022F2}"/>
              </c:ext>
            </c:extLst>
          </c:dPt>
          <c:dPt>
            <c:idx val="1"/>
            <c:bubble3D val="0"/>
            <c:spPr>
              <a:solidFill>
                <a:srgbClr val="993366"/>
              </a:solidFill>
              <a:ln w="12700">
                <a:solidFill>
                  <a:srgbClr val="993366"/>
                </a:solidFill>
                <a:prstDash val="solid"/>
              </a:ln>
            </c:spPr>
            <c:extLst>
              <c:ext xmlns:c16="http://schemas.microsoft.com/office/drawing/2014/chart" uri="{C3380CC4-5D6E-409C-BE32-E72D297353CC}">
                <c16:uniqueId val="{00000003-E4CD-42A4-8C6F-6AE7739022F2}"/>
              </c:ext>
            </c:extLst>
          </c:dPt>
          <c:dPt>
            <c:idx val="2"/>
            <c:bubble3D val="0"/>
            <c:spPr>
              <a:solidFill>
                <a:srgbClr val="FF9900"/>
              </a:solidFill>
              <a:ln w="12700">
                <a:solidFill>
                  <a:srgbClr val="FF9900"/>
                </a:solidFill>
                <a:prstDash val="solid"/>
              </a:ln>
            </c:spPr>
            <c:extLst>
              <c:ext xmlns:c16="http://schemas.microsoft.com/office/drawing/2014/chart" uri="{C3380CC4-5D6E-409C-BE32-E72D297353CC}">
                <c16:uniqueId val="{00000005-E4CD-42A4-8C6F-6AE7739022F2}"/>
              </c:ext>
            </c:extLst>
          </c:dPt>
          <c:dPt>
            <c:idx val="3"/>
            <c:bubble3D val="0"/>
            <c:spPr>
              <a:solidFill>
                <a:srgbClr val="3366FF"/>
              </a:solidFill>
              <a:ln w="12700">
                <a:solidFill>
                  <a:srgbClr val="33CCCC"/>
                </a:solidFill>
                <a:prstDash val="solid"/>
              </a:ln>
            </c:spPr>
            <c:extLst>
              <c:ext xmlns:c16="http://schemas.microsoft.com/office/drawing/2014/chart" uri="{C3380CC4-5D6E-409C-BE32-E72D297353CC}">
                <c16:uniqueId val="{00000007-E4CD-42A4-8C6F-6AE7739022F2}"/>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Sum!$C$8:$F$8</c:f>
              <c:strCache>
                <c:ptCount val="4"/>
                <c:pt idx="0">
                  <c:v>Electricity</c:v>
                </c:pt>
                <c:pt idx="1">
                  <c:v>Natural Gas</c:v>
                </c:pt>
                <c:pt idx="2">
                  <c:v>LPG</c:v>
                </c:pt>
                <c:pt idx="3">
                  <c:v>Oil</c:v>
                </c:pt>
              </c:strCache>
            </c:strRef>
          </c:cat>
          <c:val>
            <c:numRef>
              <c:f>Sum!$C$22:$F$22</c:f>
              <c:numCache>
                <c:formatCode>#,##0</c:formatCode>
                <c:ptCount val="4"/>
                <c:pt idx="0">
                  <c:v>15141730</c:v>
                </c:pt>
                <c:pt idx="1">
                  <c:v>11723085</c:v>
                </c:pt>
                <c:pt idx="2">
                  <c:v>0</c:v>
                </c:pt>
                <c:pt idx="3">
                  <c:v>0</c:v>
                </c:pt>
              </c:numCache>
            </c:numRef>
          </c:val>
          <c:extLst>
            <c:ext xmlns:c16="http://schemas.microsoft.com/office/drawing/2014/chart" uri="{C3380CC4-5D6E-409C-BE32-E72D297353CC}">
              <c16:uniqueId val="{00000008-E4CD-42A4-8C6F-6AE7739022F2}"/>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A-E4CD-42A4-8C6F-6AE7739022F2}"/>
              </c:ext>
            </c:extLst>
          </c:dPt>
          <c:dPt>
            <c:idx val="1"/>
            <c:bubble3D val="0"/>
            <c:extLst>
              <c:ext xmlns:c16="http://schemas.microsoft.com/office/drawing/2014/chart" uri="{C3380CC4-5D6E-409C-BE32-E72D297353CC}">
                <c16:uniqueId val="{0000000B-E4CD-42A4-8C6F-6AE7739022F2}"/>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D-E4CD-42A4-8C6F-6AE7739022F2}"/>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F-E4CD-42A4-8C6F-6AE7739022F2}"/>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Sum!$C$8:$F$8</c:f>
              <c:strCache>
                <c:ptCount val="4"/>
                <c:pt idx="0">
                  <c:v>Electricity</c:v>
                </c:pt>
                <c:pt idx="1">
                  <c:v>Natural Gas</c:v>
                </c:pt>
                <c:pt idx="2">
                  <c:v>LPG</c:v>
                </c:pt>
                <c:pt idx="3">
                  <c:v>Oil</c:v>
                </c:pt>
              </c:strCache>
            </c:strRef>
          </c:cat>
          <c:val>
            <c:numRef>
              <c:f>Sum!$C$22:$F$22</c:f>
              <c:numCache>
                <c:formatCode>#,##0</c:formatCode>
                <c:ptCount val="4"/>
                <c:pt idx="0">
                  <c:v>15141730</c:v>
                </c:pt>
                <c:pt idx="1">
                  <c:v>11723085</c:v>
                </c:pt>
                <c:pt idx="2">
                  <c:v>0</c:v>
                </c:pt>
                <c:pt idx="3">
                  <c:v>0</c:v>
                </c:pt>
              </c:numCache>
            </c:numRef>
          </c:val>
          <c:extLst>
            <c:ext xmlns:c16="http://schemas.microsoft.com/office/drawing/2014/chart" uri="{C3380CC4-5D6E-409C-BE32-E72D297353CC}">
              <c16:uniqueId val="{00000010-E4CD-42A4-8C6F-6AE7739022F2}"/>
            </c:ext>
          </c:extLst>
        </c:ser>
        <c:dLbls>
          <c:showLegendKey val="0"/>
          <c:showVal val="0"/>
          <c:showCatName val="0"/>
          <c:showSerName val="0"/>
          <c:showPercent val="0"/>
          <c:showBubbleSize val="0"/>
          <c:showLeaderLines val="1"/>
        </c:dLbls>
        <c:firstSliceAng val="45"/>
      </c:pieChart>
      <c:spPr>
        <a:noFill/>
        <a:ln w="25400">
          <a:noFill/>
        </a:ln>
      </c:spPr>
    </c:plotArea>
    <c:legend>
      <c:legendPos val="r"/>
      <c:layout>
        <c:manualLayout>
          <c:xMode val="edge"/>
          <c:yMode val="edge"/>
          <c:x val="0.31128792856968468"/>
          <c:y val="0.94057086500840836"/>
          <c:w val="0.65114817908537903"/>
          <c:h val="5.045207705025946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a-DK"/>
              <a:t>Annual Cost</a:t>
            </a:r>
          </a:p>
        </c:rich>
      </c:tx>
      <c:layout>
        <c:manualLayout>
          <c:xMode val="edge"/>
          <c:yMode val="edge"/>
          <c:x val="0.40310158904555532"/>
          <c:y val="3.0232558139534883E-2"/>
        </c:manualLayout>
      </c:layout>
      <c:overlay val="0"/>
      <c:spPr>
        <a:noFill/>
        <a:ln w="25400">
          <a:noFill/>
        </a:ln>
      </c:spPr>
    </c:title>
    <c:autoTitleDeleted val="0"/>
    <c:plotArea>
      <c:layout>
        <c:manualLayout>
          <c:layoutTarget val="inner"/>
          <c:xMode val="edge"/>
          <c:yMode val="edge"/>
          <c:x val="0.18306195681687781"/>
          <c:y val="0.14209097267044221"/>
          <c:w val="0.63390875955596537"/>
          <c:h val="0.75362174112550995"/>
        </c:manualLayout>
      </c:layout>
      <c:pieChart>
        <c:varyColors val="1"/>
        <c:ser>
          <c:idx val="0"/>
          <c:order val="0"/>
          <c:spPr>
            <a:solidFill>
              <a:srgbClr val="9999FF"/>
            </a:solidFill>
            <a:ln w="12700">
              <a:solidFill>
                <a:srgbClr val="000000"/>
              </a:solidFill>
              <a:prstDash val="solid"/>
            </a:ln>
          </c:spPr>
          <c:dPt>
            <c:idx val="0"/>
            <c:bubble3D val="0"/>
            <c:spPr>
              <a:solidFill>
                <a:srgbClr val="008080"/>
              </a:solidFill>
              <a:ln w="12700">
                <a:solidFill>
                  <a:srgbClr val="008080"/>
                </a:solidFill>
                <a:prstDash val="solid"/>
              </a:ln>
            </c:spPr>
            <c:extLst>
              <c:ext xmlns:c16="http://schemas.microsoft.com/office/drawing/2014/chart" uri="{C3380CC4-5D6E-409C-BE32-E72D297353CC}">
                <c16:uniqueId val="{00000001-2359-4373-8E5D-0A80179B7FB0}"/>
              </c:ext>
            </c:extLst>
          </c:dPt>
          <c:dPt>
            <c:idx val="1"/>
            <c:bubble3D val="0"/>
            <c:spPr>
              <a:solidFill>
                <a:srgbClr val="993366"/>
              </a:solidFill>
              <a:ln w="12700">
                <a:solidFill>
                  <a:srgbClr val="993366"/>
                </a:solidFill>
                <a:prstDash val="solid"/>
              </a:ln>
            </c:spPr>
            <c:extLst>
              <c:ext xmlns:c16="http://schemas.microsoft.com/office/drawing/2014/chart" uri="{C3380CC4-5D6E-409C-BE32-E72D297353CC}">
                <c16:uniqueId val="{00000003-2359-4373-8E5D-0A80179B7FB0}"/>
              </c:ext>
            </c:extLst>
          </c:dPt>
          <c:dPt>
            <c:idx val="2"/>
            <c:bubble3D val="0"/>
            <c:spPr>
              <a:solidFill>
                <a:srgbClr val="FF9900"/>
              </a:solidFill>
              <a:ln w="12700">
                <a:solidFill>
                  <a:srgbClr val="FF9900"/>
                </a:solidFill>
                <a:prstDash val="solid"/>
              </a:ln>
            </c:spPr>
            <c:extLst>
              <c:ext xmlns:c16="http://schemas.microsoft.com/office/drawing/2014/chart" uri="{C3380CC4-5D6E-409C-BE32-E72D297353CC}">
                <c16:uniqueId val="{00000005-2359-4373-8E5D-0A80179B7FB0}"/>
              </c:ext>
            </c:extLst>
          </c:dPt>
          <c:dPt>
            <c:idx val="3"/>
            <c:bubble3D val="0"/>
            <c:spPr>
              <a:solidFill>
                <a:srgbClr val="3366FF"/>
              </a:solidFill>
              <a:ln w="12700">
                <a:solidFill>
                  <a:srgbClr val="33CCCC"/>
                </a:solidFill>
                <a:prstDash val="solid"/>
              </a:ln>
            </c:spPr>
            <c:extLst>
              <c:ext xmlns:c16="http://schemas.microsoft.com/office/drawing/2014/chart" uri="{C3380CC4-5D6E-409C-BE32-E72D297353CC}">
                <c16:uniqueId val="{00000007-2359-4373-8E5D-0A80179B7FB0}"/>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Sum!$H$8:$K$8</c:f>
              <c:strCache>
                <c:ptCount val="4"/>
                <c:pt idx="0">
                  <c:v>Electricity</c:v>
                </c:pt>
                <c:pt idx="1">
                  <c:v>Natural Gas</c:v>
                </c:pt>
                <c:pt idx="2">
                  <c:v>LPG</c:v>
                </c:pt>
                <c:pt idx="3">
                  <c:v>Oil</c:v>
                </c:pt>
              </c:strCache>
            </c:strRef>
          </c:cat>
          <c:val>
            <c:numRef>
              <c:f>Sum!$H$22:$K$22</c:f>
              <c:numCache>
                <c:formatCode>#,##0</c:formatCode>
                <c:ptCount val="4"/>
                <c:pt idx="0">
                  <c:v>751372.48627889028</c:v>
                </c:pt>
                <c:pt idx="1">
                  <c:v>103737.60820512944</c:v>
                </c:pt>
                <c:pt idx="2">
                  <c:v>0</c:v>
                </c:pt>
                <c:pt idx="3">
                  <c:v>0</c:v>
                </c:pt>
              </c:numCache>
            </c:numRef>
          </c:val>
          <c:extLst>
            <c:ext xmlns:c16="http://schemas.microsoft.com/office/drawing/2014/chart" uri="{C3380CC4-5D6E-409C-BE32-E72D297353CC}">
              <c16:uniqueId val="{00000008-2359-4373-8E5D-0A80179B7FB0}"/>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A-2359-4373-8E5D-0A80179B7FB0}"/>
              </c:ext>
            </c:extLst>
          </c:dPt>
          <c:dPt>
            <c:idx val="1"/>
            <c:bubble3D val="0"/>
            <c:extLst>
              <c:ext xmlns:c16="http://schemas.microsoft.com/office/drawing/2014/chart" uri="{C3380CC4-5D6E-409C-BE32-E72D297353CC}">
                <c16:uniqueId val="{0000000B-2359-4373-8E5D-0A80179B7FB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D-2359-4373-8E5D-0A80179B7FB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F-2359-4373-8E5D-0A80179B7FB0}"/>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Sum!$H$8:$K$8</c:f>
              <c:strCache>
                <c:ptCount val="4"/>
                <c:pt idx="0">
                  <c:v>Electricity</c:v>
                </c:pt>
                <c:pt idx="1">
                  <c:v>Natural Gas</c:v>
                </c:pt>
                <c:pt idx="2">
                  <c:v>LPG</c:v>
                </c:pt>
                <c:pt idx="3">
                  <c:v>Oil</c:v>
                </c:pt>
              </c:strCache>
            </c:strRef>
          </c:cat>
          <c:val>
            <c:numRef>
              <c:f>Sum!$C$22:$F$22</c:f>
              <c:numCache>
                <c:formatCode>#,##0</c:formatCode>
                <c:ptCount val="4"/>
                <c:pt idx="0">
                  <c:v>15141730</c:v>
                </c:pt>
                <c:pt idx="1">
                  <c:v>11723085</c:v>
                </c:pt>
                <c:pt idx="2">
                  <c:v>0</c:v>
                </c:pt>
                <c:pt idx="3">
                  <c:v>0</c:v>
                </c:pt>
              </c:numCache>
            </c:numRef>
          </c:val>
          <c:extLst>
            <c:ext xmlns:c16="http://schemas.microsoft.com/office/drawing/2014/chart" uri="{C3380CC4-5D6E-409C-BE32-E72D297353CC}">
              <c16:uniqueId val="{00000010-2359-4373-8E5D-0A80179B7FB0}"/>
            </c:ext>
          </c:extLst>
        </c:ser>
        <c:dLbls>
          <c:showLegendKey val="0"/>
          <c:showVal val="0"/>
          <c:showCatName val="0"/>
          <c:showSerName val="0"/>
          <c:showPercent val="0"/>
          <c:showBubbleSize val="0"/>
          <c:showLeaderLines val="1"/>
        </c:dLbls>
        <c:firstSliceAng val="45"/>
      </c:pieChart>
      <c:spPr>
        <a:noFill/>
        <a:ln w="25400">
          <a:noFill/>
        </a:ln>
      </c:spPr>
    </c:plotArea>
    <c:legend>
      <c:legendPos val="r"/>
      <c:layout>
        <c:manualLayout>
          <c:xMode val="edge"/>
          <c:yMode val="edge"/>
          <c:x val="0.31468501667694704"/>
          <c:y val="0.94067821147647168"/>
          <c:w val="0.65508948183229843"/>
          <c:h val="5.0361357402182047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da-DK"/>
              <a:t>Annual Emissions [tCO2]</a:t>
            </a:r>
          </a:p>
        </c:rich>
      </c:tx>
      <c:layout>
        <c:manualLayout>
          <c:xMode val="edge"/>
          <c:yMode val="edge"/>
          <c:x val="0.30933872565540199"/>
          <c:y val="3.0162412993039442E-2"/>
        </c:manualLayout>
      </c:layout>
      <c:overlay val="0"/>
      <c:spPr>
        <a:noFill/>
        <a:ln w="25400">
          <a:noFill/>
        </a:ln>
      </c:spPr>
    </c:title>
    <c:autoTitleDeleted val="0"/>
    <c:plotArea>
      <c:layout>
        <c:manualLayout>
          <c:layoutTarget val="inner"/>
          <c:xMode val="edge"/>
          <c:yMode val="edge"/>
          <c:x val="0.18085678445309336"/>
          <c:y val="0.14158179980104937"/>
          <c:w val="0.63831806277562353"/>
          <c:h val="0.75271336603089534"/>
        </c:manualLayout>
      </c:layout>
      <c:pieChart>
        <c:varyColors val="1"/>
        <c:ser>
          <c:idx val="0"/>
          <c:order val="0"/>
          <c:spPr>
            <a:solidFill>
              <a:srgbClr val="9999FF"/>
            </a:solidFill>
            <a:ln w="12700">
              <a:solidFill>
                <a:srgbClr val="000000"/>
              </a:solidFill>
              <a:prstDash val="solid"/>
            </a:ln>
          </c:spPr>
          <c:dPt>
            <c:idx val="0"/>
            <c:bubble3D val="0"/>
            <c:spPr>
              <a:solidFill>
                <a:srgbClr val="3366FF"/>
              </a:solidFill>
              <a:ln w="12700">
                <a:solidFill>
                  <a:srgbClr val="008080"/>
                </a:solidFill>
                <a:prstDash val="solid"/>
              </a:ln>
            </c:spPr>
            <c:extLst>
              <c:ext xmlns:c16="http://schemas.microsoft.com/office/drawing/2014/chart" uri="{C3380CC4-5D6E-409C-BE32-E72D297353CC}">
                <c16:uniqueId val="{00000001-21AF-4507-AA8D-3FC217C14F1A}"/>
              </c:ext>
            </c:extLst>
          </c:dPt>
          <c:dPt>
            <c:idx val="1"/>
            <c:bubble3D val="0"/>
            <c:spPr>
              <a:solidFill>
                <a:srgbClr val="993366"/>
              </a:solidFill>
              <a:ln w="12700">
                <a:solidFill>
                  <a:srgbClr val="993366"/>
                </a:solidFill>
                <a:prstDash val="solid"/>
              </a:ln>
            </c:spPr>
            <c:extLst>
              <c:ext xmlns:c16="http://schemas.microsoft.com/office/drawing/2014/chart" uri="{C3380CC4-5D6E-409C-BE32-E72D297353CC}">
                <c16:uniqueId val="{00000003-21AF-4507-AA8D-3FC217C14F1A}"/>
              </c:ext>
            </c:extLst>
          </c:dPt>
          <c:dPt>
            <c:idx val="2"/>
            <c:bubble3D val="0"/>
            <c:spPr>
              <a:solidFill>
                <a:srgbClr val="FF9900"/>
              </a:solidFill>
              <a:ln w="12700">
                <a:solidFill>
                  <a:srgbClr val="FF9900"/>
                </a:solidFill>
                <a:prstDash val="solid"/>
              </a:ln>
            </c:spPr>
            <c:extLst>
              <c:ext xmlns:c16="http://schemas.microsoft.com/office/drawing/2014/chart" uri="{C3380CC4-5D6E-409C-BE32-E72D297353CC}">
                <c16:uniqueId val="{00000005-21AF-4507-AA8D-3FC217C14F1A}"/>
              </c:ext>
            </c:extLst>
          </c:dPt>
          <c:dPt>
            <c:idx val="3"/>
            <c:bubble3D val="0"/>
            <c:spPr>
              <a:solidFill>
                <a:srgbClr val="33CCCC"/>
              </a:solidFill>
              <a:ln w="12700">
                <a:solidFill>
                  <a:srgbClr val="33CCCC"/>
                </a:solidFill>
                <a:prstDash val="solid"/>
              </a:ln>
            </c:spPr>
            <c:extLst>
              <c:ext xmlns:c16="http://schemas.microsoft.com/office/drawing/2014/chart" uri="{C3380CC4-5D6E-409C-BE32-E72D297353CC}">
                <c16:uniqueId val="{00000007-21AF-4507-AA8D-3FC217C14F1A}"/>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Sum!$N$8:$Q$8</c:f>
              <c:strCache>
                <c:ptCount val="4"/>
                <c:pt idx="0">
                  <c:v>Electricity</c:v>
                </c:pt>
                <c:pt idx="1">
                  <c:v>Natural Gas</c:v>
                </c:pt>
                <c:pt idx="2">
                  <c:v>LPG</c:v>
                </c:pt>
                <c:pt idx="3">
                  <c:v>Oil</c:v>
                </c:pt>
              </c:strCache>
            </c:strRef>
          </c:cat>
          <c:val>
            <c:numRef>
              <c:f>Sum!$N$22:$Q$22</c:f>
              <c:numCache>
                <c:formatCode>#,##0.0</c:formatCode>
                <c:ptCount val="4"/>
                <c:pt idx="0">
                  <c:v>7268.0304000000006</c:v>
                </c:pt>
                <c:pt idx="1">
                  <c:v>2367.404854211663</c:v>
                </c:pt>
                <c:pt idx="2">
                  <c:v>0</c:v>
                </c:pt>
                <c:pt idx="3">
                  <c:v>0</c:v>
                </c:pt>
              </c:numCache>
            </c:numRef>
          </c:val>
          <c:extLst>
            <c:ext xmlns:c16="http://schemas.microsoft.com/office/drawing/2014/chart" uri="{C3380CC4-5D6E-409C-BE32-E72D297353CC}">
              <c16:uniqueId val="{00000008-21AF-4507-AA8D-3FC217C14F1A}"/>
            </c:ext>
          </c:extLst>
        </c:ser>
        <c:ser>
          <c:idx val="1"/>
          <c:order val="1"/>
          <c:spPr>
            <a:solidFill>
              <a:srgbClr val="993366"/>
            </a:solidFill>
            <a:ln w="12700">
              <a:solidFill>
                <a:srgbClr val="000000"/>
              </a:solidFill>
              <a:prstDash val="solid"/>
            </a:ln>
          </c:spPr>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A-21AF-4507-AA8D-3FC217C14F1A}"/>
              </c:ext>
            </c:extLst>
          </c:dPt>
          <c:dPt>
            <c:idx val="1"/>
            <c:bubble3D val="0"/>
            <c:extLst>
              <c:ext xmlns:c16="http://schemas.microsoft.com/office/drawing/2014/chart" uri="{C3380CC4-5D6E-409C-BE32-E72D297353CC}">
                <c16:uniqueId val="{0000000B-21AF-4507-AA8D-3FC217C14F1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D-21AF-4507-AA8D-3FC217C14F1A}"/>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F-21AF-4507-AA8D-3FC217C14F1A}"/>
              </c:ext>
            </c:extLst>
          </c:dPt>
          <c:dLbls>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Sum!$N$8:$Q$8</c:f>
              <c:strCache>
                <c:ptCount val="4"/>
                <c:pt idx="0">
                  <c:v>Electricity</c:v>
                </c:pt>
                <c:pt idx="1">
                  <c:v>Natural Gas</c:v>
                </c:pt>
                <c:pt idx="2">
                  <c:v>LPG</c:v>
                </c:pt>
                <c:pt idx="3">
                  <c:v>Oil</c:v>
                </c:pt>
              </c:strCache>
            </c:strRef>
          </c:cat>
          <c:val>
            <c:numRef>
              <c:f>Sum!$C$22:$F$22</c:f>
              <c:numCache>
                <c:formatCode>#,##0</c:formatCode>
                <c:ptCount val="4"/>
                <c:pt idx="0">
                  <c:v>15141730</c:v>
                </c:pt>
                <c:pt idx="1">
                  <c:v>11723085</c:v>
                </c:pt>
                <c:pt idx="2">
                  <c:v>0</c:v>
                </c:pt>
                <c:pt idx="3">
                  <c:v>0</c:v>
                </c:pt>
              </c:numCache>
            </c:numRef>
          </c:val>
          <c:extLst>
            <c:ext xmlns:c16="http://schemas.microsoft.com/office/drawing/2014/chart" uri="{C3380CC4-5D6E-409C-BE32-E72D297353CC}">
              <c16:uniqueId val="{00000010-21AF-4507-AA8D-3FC217C14F1A}"/>
            </c:ext>
          </c:extLst>
        </c:ser>
        <c:dLbls>
          <c:showLegendKey val="0"/>
          <c:showVal val="0"/>
          <c:showCatName val="0"/>
          <c:showSerName val="0"/>
          <c:showPercent val="0"/>
          <c:showBubbleSize val="0"/>
          <c:showLeaderLines val="1"/>
        </c:dLbls>
        <c:firstSliceAng val="45"/>
      </c:pieChart>
      <c:spPr>
        <a:noFill/>
        <a:ln w="25400">
          <a:noFill/>
        </a:ln>
      </c:spPr>
    </c:plotArea>
    <c:legend>
      <c:legendPos val="r"/>
      <c:layout>
        <c:manualLayout>
          <c:xMode val="edge"/>
          <c:yMode val="edge"/>
          <c:x val="0.30852039700821804"/>
          <c:y val="0.94089170753861906"/>
          <c:w val="0.65807552662344049"/>
          <c:h val="5.018089106872636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1514360313315929"/>
          <c:y val="3.4055727554179564E-2"/>
        </c:manualLayout>
      </c:layout>
      <c:overlay val="0"/>
      <c:spPr>
        <a:noFill/>
        <a:ln w="25400">
          <a:noFill/>
        </a:ln>
      </c:spPr>
      <c:txPr>
        <a:bodyPr/>
        <a:lstStyle/>
        <a:p>
          <a:pPr>
            <a:defRPr sz="1100" b="1" i="0" u="none" strike="noStrike" baseline="0">
              <a:solidFill>
                <a:srgbClr val="000000"/>
              </a:solidFill>
              <a:latin typeface="Tahoma"/>
              <a:ea typeface="Tahoma"/>
              <a:cs typeface="Tahoma"/>
            </a:defRPr>
          </a:pPr>
          <a:endParaRPr lang="en-US"/>
        </a:p>
      </c:txPr>
    </c:title>
    <c:autoTitleDeleted val="0"/>
    <c:plotArea>
      <c:layout>
        <c:manualLayout>
          <c:layoutTarget val="inner"/>
          <c:xMode val="edge"/>
          <c:yMode val="edge"/>
          <c:x val="0.25255402926335097"/>
          <c:y val="0.196178579444127"/>
          <c:w val="0.51732841478138014"/>
          <c:h val="0.60767511193668611"/>
        </c:manualLayout>
      </c:layout>
      <c:pieChart>
        <c:varyColors val="1"/>
        <c:ser>
          <c:idx val="1"/>
          <c:order val="0"/>
          <c:tx>
            <c:strRef>
              <c:f>Mapping!$F$86</c:f>
              <c:strCache>
                <c:ptCount val="1"/>
                <c:pt idx="0">
                  <c:v>Building</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7CF2-422A-8D71-E660B68CB3A6}"/>
              </c:ext>
            </c:extLst>
          </c:dPt>
          <c:dPt>
            <c:idx val="1"/>
            <c:bubble3D val="0"/>
            <c:extLst>
              <c:ext xmlns:c16="http://schemas.microsoft.com/office/drawing/2014/chart" uri="{C3380CC4-5D6E-409C-BE32-E72D297353CC}">
                <c16:uniqueId val="{00000002-7CF2-422A-8D71-E660B68CB3A6}"/>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7CF2-422A-8D71-E660B68CB3A6}"/>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7CF2-422A-8D71-E660B68CB3A6}"/>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7CF2-422A-8D71-E660B68CB3A6}"/>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7CF2-422A-8D71-E660B68CB3A6}"/>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7CF2-422A-8D71-E660B68CB3A6}"/>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7CF2-422A-8D71-E660B68CB3A6}"/>
              </c:ext>
            </c:extLst>
          </c:dPt>
          <c:dPt>
            <c:idx val="8"/>
            <c:bubble3D val="0"/>
            <c:extLst>
              <c:ext xmlns:c16="http://schemas.microsoft.com/office/drawing/2014/chart" uri="{C3380CC4-5D6E-409C-BE32-E72D297353CC}">
                <c16:uniqueId val="{0000000F-7CF2-422A-8D71-E660B68CB3A6}"/>
              </c:ext>
            </c:extLst>
          </c:dPt>
          <c:dPt>
            <c:idx val="9"/>
            <c:bubble3D val="0"/>
            <c:extLst>
              <c:ext xmlns:c16="http://schemas.microsoft.com/office/drawing/2014/chart" uri="{C3380CC4-5D6E-409C-BE32-E72D297353CC}">
                <c16:uniqueId val="{00000010-7CF2-422A-8D71-E660B68CB3A6}"/>
              </c:ext>
            </c:extLst>
          </c:dPt>
          <c:dPt>
            <c:idx val="10"/>
            <c:bubble3D val="0"/>
            <c:extLst>
              <c:ext xmlns:c16="http://schemas.microsoft.com/office/drawing/2014/chart" uri="{C3380CC4-5D6E-409C-BE32-E72D297353CC}">
                <c16:uniqueId val="{00000011-7CF2-422A-8D71-E660B68CB3A6}"/>
              </c:ext>
            </c:extLst>
          </c:dPt>
          <c:dPt>
            <c:idx val="11"/>
            <c:bubble3D val="0"/>
            <c:extLst>
              <c:ext xmlns:c16="http://schemas.microsoft.com/office/drawing/2014/chart" uri="{C3380CC4-5D6E-409C-BE32-E72D297353CC}">
                <c16:uniqueId val="{00000012-7CF2-422A-8D71-E660B68CB3A6}"/>
              </c:ext>
            </c:extLst>
          </c:dPt>
          <c:dPt>
            <c:idx val="12"/>
            <c:bubble3D val="0"/>
            <c:extLst>
              <c:ext xmlns:c16="http://schemas.microsoft.com/office/drawing/2014/chart" uri="{C3380CC4-5D6E-409C-BE32-E72D297353CC}">
                <c16:uniqueId val="{00000013-7CF2-422A-8D71-E660B68CB3A6}"/>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Mapping!$F$87:$F$99</c:f>
              <c:strCache>
                <c:ptCount val="13"/>
                <c:pt idx="0">
                  <c:v>Stores</c:v>
                </c:pt>
                <c:pt idx="1">
                  <c:v>Process 1</c:v>
                </c:pt>
                <c:pt idx="2">
                  <c:v>Process 2</c:v>
                </c:pt>
                <c:pt idx="3">
                  <c:v>Process 3</c:v>
                </c:pt>
                <c:pt idx="4">
                  <c:v>Admin</c:v>
                </c:pt>
                <c:pt idx="5">
                  <c:v>WTP</c:v>
                </c:pt>
                <c:pt idx="6">
                  <c:v>Utilities</c:v>
                </c:pt>
                <c:pt idx="7">
                  <c:v>Guard house</c:v>
                </c:pt>
                <c:pt idx="8">
                  <c:v>Visitors centre</c:v>
                </c:pt>
                <c:pt idx="9">
                  <c:v>Waste dump</c:v>
                </c:pt>
                <c:pt idx="10">
                  <c:v>Gardens</c:v>
                </c:pt>
                <c:pt idx="11">
                  <c:v>Warehouse 1</c:v>
                </c:pt>
                <c:pt idx="12">
                  <c:v>Warehouse 2</c:v>
                </c:pt>
              </c:strCache>
            </c:strRef>
          </c:cat>
          <c:val>
            <c:numRef>
              <c:f>Mapping!$G$87:$G$99</c:f>
              <c:numCache>
                <c:formatCode>#,##0.0</c:formatCode>
                <c:ptCount val="13"/>
                <c:pt idx="0">
                  <c:v>0</c:v>
                </c:pt>
                <c:pt idx="1">
                  <c:v>542555.39999999991</c:v>
                </c:pt>
                <c:pt idx="2">
                  <c:v>1906779.21</c:v>
                </c:pt>
                <c:pt idx="3">
                  <c:v>3687748</c:v>
                </c:pt>
                <c:pt idx="4">
                  <c:v>1346704</c:v>
                </c:pt>
                <c:pt idx="5">
                  <c:v>1748638.92</c:v>
                </c:pt>
                <c:pt idx="6">
                  <c:v>5150009.1499999994</c:v>
                </c:pt>
                <c:pt idx="7">
                  <c:v>0</c:v>
                </c:pt>
                <c:pt idx="8">
                  <c:v>0</c:v>
                </c:pt>
                <c:pt idx="9">
                  <c:v>0</c:v>
                </c:pt>
                <c:pt idx="10">
                  <c:v>0</c:v>
                </c:pt>
                <c:pt idx="11">
                  <c:v>653496</c:v>
                </c:pt>
                <c:pt idx="12">
                  <c:v>0</c:v>
                </c:pt>
              </c:numCache>
            </c:numRef>
          </c:val>
          <c:extLst>
            <c:ext xmlns:c16="http://schemas.microsoft.com/office/drawing/2014/chart" uri="{C3380CC4-5D6E-409C-BE32-E72D297353CC}">
              <c16:uniqueId val="{00000014-7CF2-422A-8D71-E660B68CB3A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da-DK"/>
              <a:t>Maximum Demand (MD) &amp; Maximum Import Capacity (MIC)</a:t>
            </a:r>
          </a:p>
        </c:rich>
      </c:tx>
      <c:layout>
        <c:manualLayout>
          <c:xMode val="edge"/>
          <c:yMode val="edge"/>
          <c:x val="0.16556308772661696"/>
          <c:y val="3.2085561497326207E-2"/>
        </c:manualLayout>
      </c:layout>
      <c:overlay val="0"/>
      <c:spPr>
        <a:noFill/>
        <a:ln w="25400">
          <a:noFill/>
        </a:ln>
      </c:spPr>
    </c:title>
    <c:autoTitleDeleted val="0"/>
    <c:plotArea>
      <c:layout>
        <c:manualLayout>
          <c:layoutTarget val="inner"/>
          <c:xMode val="edge"/>
          <c:yMode val="edge"/>
          <c:x val="0.11705082003638434"/>
          <c:y val="0.16736088562407309"/>
          <c:w val="0.85972517324223363"/>
          <c:h val="0.66117880740374535"/>
        </c:manualLayout>
      </c:layout>
      <c:barChart>
        <c:barDir val="col"/>
        <c:grouping val="clustered"/>
        <c:varyColors val="0"/>
        <c:ser>
          <c:idx val="0"/>
          <c:order val="0"/>
          <c:tx>
            <c:strRef>
              <c:f>Electricity!$BT$8</c:f>
              <c:strCache>
                <c:ptCount val="1"/>
                <c:pt idx="0">
                  <c:v>Actual MD (kW)</c:v>
                </c:pt>
              </c:strCache>
            </c:strRef>
          </c:tx>
          <c:spPr>
            <a:solidFill>
              <a:srgbClr val="3366FF"/>
            </a:solidFill>
            <a:ln w="12700">
              <a:solidFill>
                <a:srgbClr val="3366FF"/>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Electricity!$BT$10:$BT$21</c:f>
              <c:numCache>
                <c:formatCode>#,##0</c:formatCode>
                <c:ptCount val="12"/>
                <c:pt idx="0">
                  <c:v>1000</c:v>
                </c:pt>
                <c:pt idx="1">
                  <c:v>1000</c:v>
                </c:pt>
                <c:pt idx="2">
                  <c:v>1000</c:v>
                </c:pt>
                <c:pt idx="3">
                  <c:v>1000</c:v>
                </c:pt>
                <c:pt idx="4">
                  <c:v>1000</c:v>
                </c:pt>
                <c:pt idx="5">
                  <c:v>1000</c:v>
                </c:pt>
                <c:pt idx="6">
                  <c:v>1000</c:v>
                </c:pt>
                <c:pt idx="7">
                  <c:v>1000</c:v>
                </c:pt>
                <c:pt idx="8">
                  <c:v>1000</c:v>
                </c:pt>
                <c:pt idx="9">
                  <c:v>1000</c:v>
                </c:pt>
                <c:pt idx="10">
                  <c:v>1000</c:v>
                </c:pt>
                <c:pt idx="11">
                  <c:v>1000</c:v>
                </c:pt>
              </c:numCache>
            </c:numRef>
          </c:val>
          <c:extLst>
            <c:ext xmlns:c16="http://schemas.microsoft.com/office/drawing/2014/chart" uri="{C3380CC4-5D6E-409C-BE32-E72D297353CC}">
              <c16:uniqueId val="{00000000-8C1F-48EF-86EF-6AD9FB29CE81}"/>
            </c:ext>
          </c:extLst>
        </c:ser>
        <c:ser>
          <c:idx val="1"/>
          <c:order val="1"/>
          <c:tx>
            <c:strRef>
              <c:f>Electricity!$BR$8</c:f>
              <c:strCache>
                <c:ptCount val="1"/>
                <c:pt idx="0">
                  <c:v>Contracted MIC (kVA)</c:v>
                </c:pt>
              </c:strCache>
            </c:strRef>
          </c:tx>
          <c:spPr>
            <a:solidFill>
              <a:srgbClr val="993366"/>
            </a:solidFill>
            <a:ln w="12700">
              <a:solidFill>
                <a:srgbClr val="993366"/>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Electricity!$BR$10:$BR$21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C1F-48EF-86EF-6AD9FB29CE81}"/>
            </c:ext>
          </c:extLst>
        </c:ser>
        <c:ser>
          <c:idx val="2"/>
          <c:order val="2"/>
          <c:tx>
            <c:strRef>
              <c:f>Electricity!$BS$8</c:f>
              <c:strCache>
                <c:ptCount val="1"/>
                <c:pt idx="0">
                  <c:v>Appropriate MIC (kVA)</c:v>
                </c:pt>
              </c:strCache>
            </c:strRef>
          </c:tx>
          <c:spPr>
            <a:solidFill>
              <a:srgbClr val="FF9900"/>
            </a:solidFill>
            <a:ln w="12700">
              <a:solidFill>
                <a:srgbClr val="FF9900"/>
              </a:solidFill>
              <a:prstDash val="solid"/>
            </a:ln>
          </c:spPr>
          <c:invertIfNegative val="0"/>
          <c:cat>
            <c:strRef>
              <c:f>Electricity!$B$10:$B$21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Electricity!$BS$10:$BS$21</c:f>
              <c:numCache>
                <c:formatCode>#,##0</c:formatCode>
                <c:ptCount val="12"/>
                <c:pt idx="0">
                  <c:v>1157.8947368421054</c:v>
                </c:pt>
                <c:pt idx="1">
                  <c:v>1157.8947368421054</c:v>
                </c:pt>
                <c:pt idx="2">
                  <c:v>1157.8947368421054</c:v>
                </c:pt>
                <c:pt idx="3">
                  <c:v>1157.8947368421054</c:v>
                </c:pt>
                <c:pt idx="4">
                  <c:v>1157.8947368421054</c:v>
                </c:pt>
                <c:pt idx="5">
                  <c:v>1157.8947368421054</c:v>
                </c:pt>
                <c:pt idx="6">
                  <c:v>1157.8947368421054</c:v>
                </c:pt>
                <c:pt idx="7">
                  <c:v>1157.8947368421054</c:v>
                </c:pt>
                <c:pt idx="8">
                  <c:v>1157.8947368421054</c:v>
                </c:pt>
                <c:pt idx="9">
                  <c:v>1157.8947368421054</c:v>
                </c:pt>
                <c:pt idx="10">
                  <c:v>1157.8947368421054</c:v>
                </c:pt>
                <c:pt idx="11">
                  <c:v>1157.8947368421054</c:v>
                </c:pt>
              </c:numCache>
            </c:numRef>
          </c:val>
          <c:extLst>
            <c:ext xmlns:c16="http://schemas.microsoft.com/office/drawing/2014/chart" uri="{C3380CC4-5D6E-409C-BE32-E72D297353CC}">
              <c16:uniqueId val="{00000002-8C1F-48EF-86EF-6AD9FB29CE81}"/>
            </c:ext>
          </c:extLst>
        </c:ser>
        <c:dLbls>
          <c:showLegendKey val="0"/>
          <c:showVal val="0"/>
          <c:showCatName val="0"/>
          <c:showSerName val="0"/>
          <c:showPercent val="0"/>
          <c:showBubbleSize val="0"/>
        </c:dLbls>
        <c:gapWidth val="150"/>
        <c:axId val="50313472"/>
        <c:axId val="50327552"/>
      </c:barChart>
      <c:catAx>
        <c:axId val="50313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327552"/>
        <c:crosses val="autoZero"/>
        <c:auto val="1"/>
        <c:lblAlgn val="ctr"/>
        <c:lblOffset val="100"/>
        <c:tickLblSkip val="1"/>
        <c:tickMarkSkip val="1"/>
        <c:noMultiLvlLbl val="0"/>
      </c:catAx>
      <c:valAx>
        <c:axId val="50327552"/>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da-DK"/>
                  <a:t>Maximum Demand [kW] / MIC [kVA]</a:t>
                </a:r>
              </a:p>
            </c:rich>
          </c:tx>
          <c:layout>
            <c:manualLayout>
              <c:xMode val="edge"/>
              <c:yMode val="edge"/>
              <c:x val="2.4834437086092714E-2"/>
              <c:y val="0.2165775401069518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313472"/>
        <c:crosses val="autoZero"/>
        <c:crossBetween val="between"/>
      </c:valAx>
      <c:spPr>
        <a:noFill/>
        <a:ln w="12700">
          <a:solidFill>
            <a:srgbClr val="808080"/>
          </a:solidFill>
          <a:prstDash val="solid"/>
        </a:ln>
      </c:spPr>
    </c:plotArea>
    <c:legend>
      <c:legendPos val="r"/>
      <c:layout>
        <c:manualLayout>
          <c:xMode val="edge"/>
          <c:yMode val="edge"/>
          <c:x val="0.25453026838266485"/>
          <c:y val="0.92978269791151691"/>
          <c:w val="0.56203384135258483"/>
          <c:h val="5.991932942096441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7864665354330709"/>
          <c:y val="3.3950617283950615E-2"/>
        </c:manualLayout>
      </c:layout>
      <c:overlay val="0"/>
      <c:spPr>
        <a:noFill/>
        <a:ln w="25400">
          <a:noFill/>
        </a:ln>
      </c:spPr>
      <c:txPr>
        <a:bodyPr/>
        <a:lstStyle/>
        <a:p>
          <a:pPr>
            <a:defRPr sz="1100" b="1" i="0" u="none" strike="noStrike" baseline="0">
              <a:solidFill>
                <a:srgbClr val="000000"/>
              </a:solidFill>
              <a:latin typeface="Tahoma"/>
              <a:ea typeface="Tahoma"/>
              <a:cs typeface="Tahoma"/>
            </a:defRPr>
          </a:pPr>
          <a:endParaRPr lang="en-US"/>
        </a:p>
      </c:txPr>
    </c:title>
    <c:autoTitleDeleted val="0"/>
    <c:plotArea>
      <c:layout>
        <c:manualLayout>
          <c:layoutTarget val="inner"/>
          <c:xMode val="edge"/>
          <c:yMode val="edge"/>
          <c:x val="0.27236668879332837"/>
          <c:y val="0.2476273033259081"/>
          <c:w val="0.47969058623302602"/>
          <c:h val="0.56192349600879132"/>
        </c:manualLayout>
      </c:layout>
      <c:pieChart>
        <c:varyColors val="1"/>
        <c:ser>
          <c:idx val="1"/>
          <c:order val="0"/>
          <c:tx>
            <c:strRef>
              <c:f>Mapping!$H$86</c:f>
              <c:strCache>
                <c:ptCount val="1"/>
                <c:pt idx="0">
                  <c:v>Function/ Department</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3A1B-4797-8A6B-870B30B8D900}"/>
              </c:ext>
            </c:extLst>
          </c:dPt>
          <c:dPt>
            <c:idx val="1"/>
            <c:bubble3D val="0"/>
            <c:extLst>
              <c:ext xmlns:c16="http://schemas.microsoft.com/office/drawing/2014/chart" uri="{C3380CC4-5D6E-409C-BE32-E72D297353CC}">
                <c16:uniqueId val="{00000002-3A1B-4797-8A6B-870B30B8D900}"/>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3A1B-4797-8A6B-870B30B8D900}"/>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3A1B-4797-8A6B-870B30B8D900}"/>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3A1B-4797-8A6B-870B30B8D900}"/>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3A1B-4797-8A6B-870B30B8D900}"/>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3A1B-4797-8A6B-870B30B8D900}"/>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3A1B-4797-8A6B-870B30B8D900}"/>
              </c:ext>
            </c:extLst>
          </c:dPt>
          <c:dPt>
            <c:idx val="8"/>
            <c:bubble3D val="0"/>
            <c:extLst>
              <c:ext xmlns:c16="http://schemas.microsoft.com/office/drawing/2014/chart" uri="{C3380CC4-5D6E-409C-BE32-E72D297353CC}">
                <c16:uniqueId val="{0000000F-3A1B-4797-8A6B-870B30B8D900}"/>
              </c:ext>
            </c:extLst>
          </c:dPt>
          <c:dPt>
            <c:idx val="9"/>
            <c:bubble3D val="0"/>
            <c:extLst>
              <c:ext xmlns:c16="http://schemas.microsoft.com/office/drawing/2014/chart" uri="{C3380CC4-5D6E-409C-BE32-E72D297353CC}">
                <c16:uniqueId val="{00000010-3A1B-4797-8A6B-870B30B8D900}"/>
              </c:ext>
            </c:extLst>
          </c:dPt>
          <c:dPt>
            <c:idx val="10"/>
            <c:bubble3D val="0"/>
            <c:extLst>
              <c:ext xmlns:c16="http://schemas.microsoft.com/office/drawing/2014/chart" uri="{C3380CC4-5D6E-409C-BE32-E72D297353CC}">
                <c16:uniqueId val="{00000011-3A1B-4797-8A6B-870B30B8D900}"/>
              </c:ext>
            </c:extLst>
          </c:dPt>
          <c:dPt>
            <c:idx val="11"/>
            <c:bubble3D val="0"/>
            <c:extLst>
              <c:ext xmlns:c16="http://schemas.microsoft.com/office/drawing/2014/chart" uri="{C3380CC4-5D6E-409C-BE32-E72D297353CC}">
                <c16:uniqueId val="{00000012-3A1B-4797-8A6B-870B30B8D900}"/>
              </c:ext>
            </c:extLst>
          </c:dPt>
          <c:dPt>
            <c:idx val="12"/>
            <c:bubble3D val="0"/>
            <c:extLst>
              <c:ext xmlns:c16="http://schemas.microsoft.com/office/drawing/2014/chart" uri="{C3380CC4-5D6E-409C-BE32-E72D297353CC}">
                <c16:uniqueId val="{00000013-3A1B-4797-8A6B-870B30B8D900}"/>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Mapping!$H$87:$H$99</c:f>
              <c:strCache>
                <c:ptCount val="13"/>
                <c:pt idx="0">
                  <c:v>Stores</c:v>
                </c:pt>
                <c:pt idx="1">
                  <c:v>Process 1</c:v>
                </c:pt>
                <c:pt idx="2">
                  <c:v>Process 2</c:v>
                </c:pt>
                <c:pt idx="3">
                  <c:v>Process 3</c:v>
                </c:pt>
                <c:pt idx="4">
                  <c:v>Admin</c:v>
                </c:pt>
                <c:pt idx="5">
                  <c:v>WTP</c:v>
                </c:pt>
                <c:pt idx="6">
                  <c:v>Utilities</c:v>
                </c:pt>
                <c:pt idx="7">
                  <c:v>Guard house</c:v>
                </c:pt>
                <c:pt idx="8">
                  <c:v>Visitors centre</c:v>
                </c:pt>
                <c:pt idx="9">
                  <c:v>Waste dump</c:v>
                </c:pt>
                <c:pt idx="10">
                  <c:v>Gardens</c:v>
                </c:pt>
                <c:pt idx="11">
                  <c:v>Warehouse 1</c:v>
                </c:pt>
                <c:pt idx="12">
                  <c:v>Warehouse 2</c:v>
                </c:pt>
              </c:strCache>
            </c:strRef>
          </c:cat>
          <c:val>
            <c:numRef>
              <c:f>Mapping!$I$87:$I$99</c:f>
              <c:numCache>
                <c:formatCode>#,##0.0</c:formatCode>
                <c:ptCount val="13"/>
                <c:pt idx="0">
                  <c:v>0</c:v>
                </c:pt>
                <c:pt idx="1">
                  <c:v>542555.39999999991</c:v>
                </c:pt>
                <c:pt idx="2">
                  <c:v>1906779.21</c:v>
                </c:pt>
                <c:pt idx="3">
                  <c:v>3687748</c:v>
                </c:pt>
                <c:pt idx="4">
                  <c:v>1346704</c:v>
                </c:pt>
                <c:pt idx="5">
                  <c:v>1748638.92</c:v>
                </c:pt>
                <c:pt idx="6">
                  <c:v>5150009.1499999994</c:v>
                </c:pt>
                <c:pt idx="7">
                  <c:v>0</c:v>
                </c:pt>
                <c:pt idx="8">
                  <c:v>0</c:v>
                </c:pt>
                <c:pt idx="9">
                  <c:v>0</c:v>
                </c:pt>
                <c:pt idx="10">
                  <c:v>0</c:v>
                </c:pt>
                <c:pt idx="11">
                  <c:v>653496</c:v>
                </c:pt>
                <c:pt idx="12">
                  <c:v>0</c:v>
                </c:pt>
              </c:numCache>
            </c:numRef>
          </c:val>
          <c:extLst>
            <c:ext xmlns:c16="http://schemas.microsoft.com/office/drawing/2014/chart" uri="{C3380CC4-5D6E-409C-BE32-E72D297353CC}">
              <c16:uniqueId val="{00000014-3A1B-4797-8A6B-870B30B8D90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307196836615897"/>
          <c:y val="3.3846153846153845E-2"/>
        </c:manualLayout>
      </c:layout>
      <c:overlay val="0"/>
      <c:spPr>
        <a:noFill/>
        <a:ln w="25400">
          <a:noFill/>
        </a:ln>
      </c:spPr>
      <c:txPr>
        <a:bodyPr/>
        <a:lstStyle/>
        <a:p>
          <a:pPr>
            <a:defRPr sz="1075" b="1" i="0" u="none" strike="noStrike" baseline="0">
              <a:solidFill>
                <a:srgbClr val="000000"/>
              </a:solidFill>
              <a:latin typeface="Tahoma"/>
              <a:ea typeface="Tahoma"/>
              <a:cs typeface="Tahoma"/>
            </a:defRPr>
          </a:pPr>
          <a:endParaRPr lang="en-US"/>
        </a:p>
      </c:txPr>
    </c:title>
    <c:autoTitleDeleted val="0"/>
    <c:plotArea>
      <c:layout>
        <c:manualLayout>
          <c:layoutTarget val="inner"/>
          <c:xMode val="edge"/>
          <c:yMode val="edge"/>
          <c:x val="0.2725494545532548"/>
          <c:y val="0.24941463101921946"/>
          <c:w val="0.4795231004921926"/>
          <c:h val="0.55583832055711768"/>
        </c:manualLayout>
      </c:layout>
      <c:pieChart>
        <c:varyColors val="1"/>
        <c:ser>
          <c:idx val="1"/>
          <c:order val="0"/>
          <c:tx>
            <c:strRef>
              <c:f>Mapping!$J$86</c:f>
              <c:strCache>
                <c:ptCount val="1"/>
                <c:pt idx="0">
                  <c:v>Process</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F8E3-478A-89EC-4246CF75AAE8}"/>
              </c:ext>
            </c:extLst>
          </c:dPt>
          <c:dPt>
            <c:idx val="1"/>
            <c:bubble3D val="0"/>
            <c:extLst>
              <c:ext xmlns:c16="http://schemas.microsoft.com/office/drawing/2014/chart" uri="{C3380CC4-5D6E-409C-BE32-E72D297353CC}">
                <c16:uniqueId val="{00000002-F8E3-478A-89EC-4246CF75AAE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F8E3-478A-89EC-4246CF75AAE8}"/>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F8E3-478A-89EC-4246CF75AAE8}"/>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F8E3-478A-89EC-4246CF75AAE8}"/>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F8E3-478A-89EC-4246CF75AAE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F8E3-478A-89EC-4246CF75AAE8}"/>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F8E3-478A-89EC-4246CF75AAE8}"/>
              </c:ext>
            </c:extLst>
          </c:dPt>
          <c:dPt>
            <c:idx val="8"/>
            <c:bubble3D val="0"/>
            <c:extLst>
              <c:ext xmlns:c16="http://schemas.microsoft.com/office/drawing/2014/chart" uri="{C3380CC4-5D6E-409C-BE32-E72D297353CC}">
                <c16:uniqueId val="{0000000F-F8E3-478A-89EC-4246CF75AAE8}"/>
              </c:ext>
            </c:extLst>
          </c:dPt>
          <c:dPt>
            <c:idx val="9"/>
            <c:bubble3D val="0"/>
            <c:extLst>
              <c:ext xmlns:c16="http://schemas.microsoft.com/office/drawing/2014/chart" uri="{C3380CC4-5D6E-409C-BE32-E72D297353CC}">
                <c16:uniqueId val="{00000010-F8E3-478A-89EC-4246CF75AAE8}"/>
              </c:ext>
            </c:extLst>
          </c:dPt>
          <c:dPt>
            <c:idx val="10"/>
            <c:bubble3D val="0"/>
            <c:extLst>
              <c:ext xmlns:c16="http://schemas.microsoft.com/office/drawing/2014/chart" uri="{C3380CC4-5D6E-409C-BE32-E72D297353CC}">
                <c16:uniqueId val="{00000011-F8E3-478A-89EC-4246CF75AAE8}"/>
              </c:ext>
            </c:extLst>
          </c:dPt>
          <c:dPt>
            <c:idx val="11"/>
            <c:bubble3D val="0"/>
            <c:extLst>
              <c:ext xmlns:c16="http://schemas.microsoft.com/office/drawing/2014/chart" uri="{C3380CC4-5D6E-409C-BE32-E72D297353CC}">
                <c16:uniqueId val="{00000012-F8E3-478A-89EC-4246CF75AAE8}"/>
              </c:ext>
            </c:extLst>
          </c:dPt>
          <c:dPt>
            <c:idx val="12"/>
            <c:bubble3D val="0"/>
            <c:extLst>
              <c:ext xmlns:c16="http://schemas.microsoft.com/office/drawing/2014/chart" uri="{C3380CC4-5D6E-409C-BE32-E72D297353CC}">
                <c16:uniqueId val="{00000013-F8E3-478A-89EC-4246CF75AAE8}"/>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Mapping!$J$87:$J$99</c:f>
              <c:strCache>
                <c:ptCount val="13"/>
                <c:pt idx="0">
                  <c:v>-not a process-</c:v>
                </c:pt>
                <c:pt idx="1">
                  <c:v>Process 1</c:v>
                </c:pt>
                <c:pt idx="2">
                  <c:v>Process 2</c:v>
                </c:pt>
                <c:pt idx="3">
                  <c:v>Process 3</c:v>
                </c:pt>
                <c:pt idx="4">
                  <c:v>Admin</c:v>
                </c:pt>
                <c:pt idx="5">
                  <c:v>WTP</c:v>
                </c:pt>
                <c:pt idx="6">
                  <c:v>Utilities</c:v>
                </c:pt>
                <c:pt idx="7">
                  <c:v>Guard house</c:v>
                </c:pt>
                <c:pt idx="8">
                  <c:v>Visitors centre</c:v>
                </c:pt>
                <c:pt idx="9">
                  <c:v>Waste dump</c:v>
                </c:pt>
                <c:pt idx="10">
                  <c:v>Gardens</c:v>
                </c:pt>
                <c:pt idx="11">
                  <c:v>Warehouse 1</c:v>
                </c:pt>
                <c:pt idx="12">
                  <c:v>Warehouse 2</c:v>
                </c:pt>
              </c:strCache>
            </c:strRef>
          </c:cat>
          <c:val>
            <c:numRef>
              <c:f>Mapping!$K$87:$K$99</c:f>
              <c:numCache>
                <c:formatCode>#,##0.0</c:formatCode>
                <c:ptCount val="13"/>
                <c:pt idx="0">
                  <c:v>0</c:v>
                </c:pt>
                <c:pt idx="1">
                  <c:v>542555.39999999991</c:v>
                </c:pt>
                <c:pt idx="2">
                  <c:v>1906779.21</c:v>
                </c:pt>
                <c:pt idx="3">
                  <c:v>3687748</c:v>
                </c:pt>
                <c:pt idx="4">
                  <c:v>1346704</c:v>
                </c:pt>
                <c:pt idx="5">
                  <c:v>1748638.92</c:v>
                </c:pt>
                <c:pt idx="6">
                  <c:v>5150009.1499999994</c:v>
                </c:pt>
                <c:pt idx="7">
                  <c:v>0</c:v>
                </c:pt>
                <c:pt idx="8">
                  <c:v>0</c:v>
                </c:pt>
                <c:pt idx="9">
                  <c:v>0</c:v>
                </c:pt>
                <c:pt idx="10">
                  <c:v>0</c:v>
                </c:pt>
                <c:pt idx="11">
                  <c:v>653496</c:v>
                </c:pt>
                <c:pt idx="12">
                  <c:v>0</c:v>
                </c:pt>
              </c:numCache>
            </c:numRef>
          </c:val>
          <c:extLst>
            <c:ext xmlns:c16="http://schemas.microsoft.com/office/drawing/2014/chart" uri="{C3380CC4-5D6E-409C-BE32-E72D297353CC}">
              <c16:uniqueId val="{00000014-F8E3-478A-89EC-4246CF75AAE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95817015019719"/>
          <c:y val="3.3742331288343558E-2"/>
        </c:manualLayout>
      </c:layout>
      <c:overlay val="0"/>
      <c:spPr>
        <a:noFill/>
        <a:ln w="25400">
          <a:noFill/>
        </a:ln>
      </c:spPr>
      <c:txPr>
        <a:bodyPr/>
        <a:lstStyle/>
        <a:p>
          <a:pPr>
            <a:defRPr sz="1075" b="1" i="0" u="none" strike="noStrike" baseline="0">
              <a:solidFill>
                <a:srgbClr val="000000"/>
              </a:solidFill>
              <a:latin typeface="Tahoma"/>
              <a:ea typeface="Tahoma"/>
              <a:cs typeface="Tahoma"/>
            </a:defRPr>
          </a:pPr>
          <a:endParaRPr lang="en-US"/>
        </a:p>
      </c:txPr>
    </c:title>
    <c:autoTitleDeleted val="0"/>
    <c:plotArea>
      <c:layout>
        <c:manualLayout>
          <c:layoutTarget val="inner"/>
          <c:xMode val="edge"/>
          <c:yMode val="edge"/>
          <c:x val="0.2693963763077733"/>
          <c:y val="0.24645397529355559"/>
          <c:w val="0.48368894837077481"/>
          <c:h val="0.56163069369781415"/>
        </c:manualLayout>
      </c:layout>
      <c:pieChart>
        <c:varyColors val="1"/>
        <c:ser>
          <c:idx val="1"/>
          <c:order val="0"/>
          <c:tx>
            <c:strRef>
              <c:f>Mapping!$L$86</c:f>
              <c:strCache>
                <c:ptCount val="1"/>
                <c:pt idx="0">
                  <c:v>Energy Form</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5CB2-4B87-998F-6D4304736F78}"/>
              </c:ext>
            </c:extLst>
          </c:dPt>
          <c:dPt>
            <c:idx val="1"/>
            <c:bubble3D val="0"/>
            <c:extLst>
              <c:ext xmlns:c16="http://schemas.microsoft.com/office/drawing/2014/chart" uri="{C3380CC4-5D6E-409C-BE32-E72D297353CC}">
                <c16:uniqueId val="{00000002-5CB2-4B87-998F-6D4304736F7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5CB2-4B87-998F-6D4304736F78}"/>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5CB2-4B87-998F-6D4304736F78}"/>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5CB2-4B87-998F-6D4304736F78}"/>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5CB2-4B87-998F-6D4304736F7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5CB2-4B87-998F-6D4304736F78}"/>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5CB2-4B87-998F-6D4304736F78}"/>
              </c:ext>
            </c:extLst>
          </c:dPt>
          <c:dPt>
            <c:idx val="8"/>
            <c:bubble3D val="0"/>
            <c:extLst>
              <c:ext xmlns:c16="http://schemas.microsoft.com/office/drawing/2014/chart" uri="{C3380CC4-5D6E-409C-BE32-E72D297353CC}">
                <c16:uniqueId val="{0000000F-5CB2-4B87-998F-6D4304736F78}"/>
              </c:ext>
            </c:extLst>
          </c:dPt>
          <c:dPt>
            <c:idx val="9"/>
            <c:bubble3D val="0"/>
            <c:extLst>
              <c:ext xmlns:c16="http://schemas.microsoft.com/office/drawing/2014/chart" uri="{C3380CC4-5D6E-409C-BE32-E72D297353CC}">
                <c16:uniqueId val="{00000010-5CB2-4B87-998F-6D4304736F78}"/>
              </c:ext>
            </c:extLst>
          </c:dPt>
          <c:dPt>
            <c:idx val="10"/>
            <c:bubble3D val="0"/>
            <c:extLst>
              <c:ext xmlns:c16="http://schemas.microsoft.com/office/drawing/2014/chart" uri="{C3380CC4-5D6E-409C-BE32-E72D297353CC}">
                <c16:uniqueId val="{00000011-5CB2-4B87-998F-6D4304736F78}"/>
              </c:ext>
            </c:extLst>
          </c:dPt>
          <c:dPt>
            <c:idx val="11"/>
            <c:bubble3D val="0"/>
            <c:extLst>
              <c:ext xmlns:c16="http://schemas.microsoft.com/office/drawing/2014/chart" uri="{C3380CC4-5D6E-409C-BE32-E72D297353CC}">
                <c16:uniqueId val="{00000012-5CB2-4B87-998F-6D4304736F78}"/>
              </c:ext>
            </c:extLst>
          </c:dPt>
          <c:dPt>
            <c:idx val="12"/>
            <c:bubble3D val="0"/>
            <c:extLst>
              <c:ext xmlns:c16="http://schemas.microsoft.com/office/drawing/2014/chart" uri="{C3380CC4-5D6E-409C-BE32-E72D297353CC}">
                <c16:uniqueId val="{00000013-5CB2-4B87-998F-6D4304736F78}"/>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Mapping!$L$87:$L$99</c:f>
              <c:strCache>
                <c:ptCount val="5"/>
                <c:pt idx="0">
                  <c:v>Electricity</c:v>
                </c:pt>
                <c:pt idx="1">
                  <c:v>Steam</c:v>
                </c:pt>
                <c:pt idx="2">
                  <c:v>Gas</c:v>
                </c:pt>
                <c:pt idx="3">
                  <c:v>Oil</c:v>
                </c:pt>
                <c:pt idx="4">
                  <c:v>District Heating</c:v>
                </c:pt>
              </c:strCache>
            </c:strRef>
          </c:cat>
          <c:val>
            <c:numRef>
              <c:f>Mapping!$M$87:$M$99</c:f>
              <c:numCache>
                <c:formatCode>#,##0.0</c:formatCode>
                <c:ptCount val="13"/>
                <c:pt idx="0">
                  <c:v>15035930.68</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4-5CB2-4B87-998F-6D4304736F7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743510464333319"/>
          <c:y val="3.3639143730886847E-2"/>
        </c:manualLayout>
      </c:layout>
      <c:overlay val="0"/>
      <c:spPr>
        <a:noFill/>
        <a:ln w="25400">
          <a:noFill/>
        </a:ln>
      </c:spPr>
      <c:txPr>
        <a:bodyPr/>
        <a:lstStyle/>
        <a:p>
          <a:pPr>
            <a:defRPr sz="1075" b="1" i="0" u="none" strike="noStrike" baseline="0">
              <a:solidFill>
                <a:srgbClr val="000000"/>
              </a:solidFill>
              <a:latin typeface="Tahoma"/>
              <a:ea typeface="Tahoma"/>
              <a:cs typeface="Tahoma"/>
            </a:defRPr>
          </a:pPr>
          <a:endParaRPr lang="en-US"/>
        </a:p>
      </c:txPr>
    </c:title>
    <c:autoTitleDeleted val="0"/>
    <c:plotArea>
      <c:layout>
        <c:manualLayout>
          <c:layoutTarget val="inner"/>
          <c:xMode val="edge"/>
          <c:yMode val="edge"/>
          <c:x val="0.27199221221781356"/>
          <c:y val="0.25059869133298407"/>
          <c:w val="0.48263279761957889"/>
          <c:h val="0.55793670900551162"/>
        </c:manualLayout>
      </c:layout>
      <c:pieChart>
        <c:varyColors val="1"/>
        <c:ser>
          <c:idx val="1"/>
          <c:order val="0"/>
          <c:tx>
            <c:strRef>
              <c:f>Mapping!$N$86</c:f>
              <c:strCache>
                <c:ptCount val="1"/>
                <c:pt idx="0">
                  <c:v>Technology</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2735-449E-A952-E1F5715897DD}"/>
              </c:ext>
            </c:extLst>
          </c:dPt>
          <c:dPt>
            <c:idx val="1"/>
            <c:bubble3D val="0"/>
            <c:extLst>
              <c:ext xmlns:c16="http://schemas.microsoft.com/office/drawing/2014/chart" uri="{C3380CC4-5D6E-409C-BE32-E72D297353CC}">
                <c16:uniqueId val="{00000002-2735-449E-A952-E1F5715897DD}"/>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2735-449E-A952-E1F5715897DD}"/>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2735-449E-A952-E1F5715897DD}"/>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2735-449E-A952-E1F5715897DD}"/>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2735-449E-A952-E1F5715897DD}"/>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2735-449E-A952-E1F5715897DD}"/>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2735-449E-A952-E1F5715897DD}"/>
              </c:ext>
            </c:extLst>
          </c:dPt>
          <c:dPt>
            <c:idx val="8"/>
            <c:bubble3D val="0"/>
            <c:extLst>
              <c:ext xmlns:c16="http://schemas.microsoft.com/office/drawing/2014/chart" uri="{C3380CC4-5D6E-409C-BE32-E72D297353CC}">
                <c16:uniqueId val="{0000000F-2735-449E-A952-E1F5715897DD}"/>
              </c:ext>
            </c:extLst>
          </c:dPt>
          <c:dPt>
            <c:idx val="9"/>
            <c:bubble3D val="0"/>
            <c:extLst>
              <c:ext xmlns:c16="http://schemas.microsoft.com/office/drawing/2014/chart" uri="{C3380CC4-5D6E-409C-BE32-E72D297353CC}">
                <c16:uniqueId val="{00000010-2735-449E-A952-E1F5715897DD}"/>
              </c:ext>
            </c:extLst>
          </c:dPt>
          <c:dPt>
            <c:idx val="10"/>
            <c:bubble3D val="0"/>
            <c:extLst>
              <c:ext xmlns:c16="http://schemas.microsoft.com/office/drawing/2014/chart" uri="{C3380CC4-5D6E-409C-BE32-E72D297353CC}">
                <c16:uniqueId val="{00000011-2735-449E-A952-E1F5715897DD}"/>
              </c:ext>
            </c:extLst>
          </c:dPt>
          <c:dPt>
            <c:idx val="11"/>
            <c:bubble3D val="0"/>
            <c:extLst>
              <c:ext xmlns:c16="http://schemas.microsoft.com/office/drawing/2014/chart" uri="{C3380CC4-5D6E-409C-BE32-E72D297353CC}">
                <c16:uniqueId val="{00000012-2735-449E-A952-E1F5715897DD}"/>
              </c:ext>
            </c:extLst>
          </c:dPt>
          <c:dPt>
            <c:idx val="12"/>
            <c:bubble3D val="0"/>
            <c:extLst>
              <c:ext xmlns:c16="http://schemas.microsoft.com/office/drawing/2014/chart" uri="{C3380CC4-5D6E-409C-BE32-E72D297353CC}">
                <c16:uniqueId val="{00000013-2735-449E-A952-E1F5715897DD}"/>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Mapping!$N$87:$N$99</c:f>
              <c:strCache>
                <c:ptCount val="6"/>
                <c:pt idx="0">
                  <c:v>Lighting</c:v>
                </c:pt>
                <c:pt idx="1">
                  <c:v>Heating</c:v>
                </c:pt>
                <c:pt idx="2">
                  <c:v>Motors</c:v>
                </c:pt>
                <c:pt idx="3">
                  <c:v>Electronics</c:v>
                </c:pt>
                <c:pt idx="4">
                  <c:v>Cooling</c:v>
                </c:pt>
                <c:pt idx="5">
                  <c:v>Compr. Air</c:v>
                </c:pt>
              </c:strCache>
            </c:strRef>
          </c:cat>
          <c:val>
            <c:numRef>
              <c:f>Mapping!$O$87:$O$99</c:f>
              <c:numCache>
                <c:formatCode>#,##0.0</c:formatCode>
                <c:ptCount val="13"/>
                <c:pt idx="0">
                  <c:v>0</c:v>
                </c:pt>
                <c:pt idx="1">
                  <c:v>0</c:v>
                </c:pt>
                <c:pt idx="2">
                  <c:v>7885721.5300000003</c:v>
                </c:pt>
                <c:pt idx="3">
                  <c:v>0</c:v>
                </c:pt>
                <c:pt idx="4">
                  <c:v>4904059.1500000004</c:v>
                </c:pt>
                <c:pt idx="5">
                  <c:v>2246150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4-2735-449E-A952-E1F5715897DD}"/>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2631578947368423"/>
          <c:y val="3.3536585365853661E-2"/>
        </c:manualLayout>
      </c:layout>
      <c:overlay val="0"/>
      <c:spPr>
        <a:noFill/>
        <a:ln w="25400">
          <a:noFill/>
        </a:ln>
      </c:spPr>
      <c:txPr>
        <a:bodyPr/>
        <a:lstStyle/>
        <a:p>
          <a:pPr>
            <a:defRPr sz="1075" b="1" i="0" u="none" strike="noStrike" baseline="0">
              <a:solidFill>
                <a:srgbClr val="000000"/>
              </a:solidFill>
              <a:latin typeface="Tahoma"/>
              <a:ea typeface="Tahoma"/>
              <a:cs typeface="Tahoma"/>
            </a:defRPr>
          </a:pPr>
          <a:endParaRPr lang="en-US"/>
        </a:p>
      </c:txPr>
    </c:title>
    <c:autoTitleDeleted val="0"/>
    <c:plotArea>
      <c:layout>
        <c:manualLayout>
          <c:layoutTarget val="inner"/>
          <c:xMode val="edge"/>
          <c:yMode val="edge"/>
          <c:x val="0.27310897060736239"/>
          <c:y val="0.25236634657121276"/>
          <c:w val="0.47845406128958978"/>
          <c:h val="0.54954540888871573"/>
        </c:manualLayout>
      </c:layout>
      <c:pieChart>
        <c:varyColors val="1"/>
        <c:ser>
          <c:idx val="1"/>
          <c:order val="0"/>
          <c:tx>
            <c:strRef>
              <c:f>Mapping!$P$86</c:f>
              <c:strCache>
                <c:ptCount val="1"/>
                <c:pt idx="0">
                  <c:v>Mode of Operation</c:v>
                </c:pt>
              </c:strCache>
            </c:strRef>
          </c:tx>
          <c:spPr>
            <a:solidFill>
              <a:srgbClr val="993366"/>
            </a:solidFill>
            <a:ln w="12700">
              <a:solidFill>
                <a:srgbClr val="000000"/>
              </a:solidFill>
              <a:prstDash val="solid"/>
            </a:ln>
          </c:spPr>
          <c:explosion val="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E08A-4819-91E4-89673A027F39}"/>
              </c:ext>
            </c:extLst>
          </c:dPt>
          <c:dPt>
            <c:idx val="1"/>
            <c:bubble3D val="0"/>
            <c:extLst>
              <c:ext xmlns:c16="http://schemas.microsoft.com/office/drawing/2014/chart" uri="{C3380CC4-5D6E-409C-BE32-E72D297353CC}">
                <c16:uniqueId val="{00000002-E08A-4819-91E4-89673A027F39}"/>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4-E08A-4819-91E4-89673A027F39}"/>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6-E08A-4819-91E4-89673A027F39}"/>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8-E08A-4819-91E4-89673A027F39}"/>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E08A-4819-91E4-89673A027F39}"/>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C-E08A-4819-91E4-89673A027F39}"/>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E-E08A-4819-91E4-89673A027F39}"/>
              </c:ext>
            </c:extLst>
          </c:dPt>
          <c:dPt>
            <c:idx val="8"/>
            <c:bubble3D val="0"/>
            <c:extLst>
              <c:ext xmlns:c16="http://schemas.microsoft.com/office/drawing/2014/chart" uri="{C3380CC4-5D6E-409C-BE32-E72D297353CC}">
                <c16:uniqueId val="{0000000F-E08A-4819-91E4-89673A027F39}"/>
              </c:ext>
            </c:extLst>
          </c:dPt>
          <c:dPt>
            <c:idx val="9"/>
            <c:bubble3D val="0"/>
            <c:extLst>
              <c:ext xmlns:c16="http://schemas.microsoft.com/office/drawing/2014/chart" uri="{C3380CC4-5D6E-409C-BE32-E72D297353CC}">
                <c16:uniqueId val="{00000010-E08A-4819-91E4-89673A027F39}"/>
              </c:ext>
            </c:extLst>
          </c:dPt>
          <c:dPt>
            <c:idx val="10"/>
            <c:bubble3D val="0"/>
            <c:extLst>
              <c:ext xmlns:c16="http://schemas.microsoft.com/office/drawing/2014/chart" uri="{C3380CC4-5D6E-409C-BE32-E72D297353CC}">
                <c16:uniqueId val="{00000011-E08A-4819-91E4-89673A027F39}"/>
              </c:ext>
            </c:extLst>
          </c:dPt>
          <c:dPt>
            <c:idx val="11"/>
            <c:bubble3D val="0"/>
            <c:extLst>
              <c:ext xmlns:c16="http://schemas.microsoft.com/office/drawing/2014/chart" uri="{C3380CC4-5D6E-409C-BE32-E72D297353CC}">
                <c16:uniqueId val="{00000012-E08A-4819-91E4-89673A027F39}"/>
              </c:ext>
            </c:extLst>
          </c:dPt>
          <c:dPt>
            <c:idx val="12"/>
            <c:bubble3D val="0"/>
            <c:extLst>
              <c:ext xmlns:c16="http://schemas.microsoft.com/office/drawing/2014/chart" uri="{C3380CC4-5D6E-409C-BE32-E72D297353CC}">
                <c16:uniqueId val="{00000013-E08A-4819-91E4-89673A027F39}"/>
              </c:ext>
            </c:extLst>
          </c:dPt>
          <c:dLbls>
            <c:spPr>
              <a:noFill/>
              <a:ln w="25400">
                <a:noFill/>
              </a:ln>
            </c:spPr>
            <c:txPr>
              <a:bodyPr wrap="square" lIns="38100" tIns="19050" rIns="38100" bIns="19050" anchor="ctr">
                <a:spAutoFit/>
              </a:bodyPr>
              <a:lstStyle/>
              <a:p>
                <a:pPr>
                  <a:defRPr sz="800" b="0" i="0" u="none" strike="noStrike" baseline="0">
                    <a:solidFill>
                      <a:srgbClr val="000000"/>
                    </a:solidFill>
                    <a:latin typeface="Tahoma"/>
                    <a:ea typeface="Tahoma"/>
                    <a:cs typeface="Tahoma"/>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Mapping!$P$87:$P$99</c:f>
              <c:strCache>
                <c:ptCount val="5"/>
                <c:pt idx="0">
                  <c:v>Mixed</c:v>
                </c:pt>
                <c:pt idx="1">
                  <c:v>Continously</c:v>
                </c:pt>
                <c:pt idx="2">
                  <c:v>On-off</c:v>
                </c:pt>
                <c:pt idx="3">
                  <c:v>Valve/damper</c:v>
                </c:pt>
                <c:pt idx="4">
                  <c:v>VSD</c:v>
                </c:pt>
              </c:strCache>
            </c:strRef>
          </c:cat>
          <c:val>
            <c:numRef>
              <c:f>Mapping!$Q$87:$Q$99</c:f>
              <c:numCache>
                <c:formatCode>#,##0.0</c:formatCode>
                <c:ptCount val="13"/>
                <c:pt idx="0">
                  <c:v>0</c:v>
                </c:pt>
                <c:pt idx="1">
                  <c:v>2228774.92</c:v>
                </c:pt>
                <c:pt idx="2">
                  <c:v>3974847.8</c:v>
                </c:pt>
                <c:pt idx="3">
                  <c:v>3161100.75</c:v>
                </c:pt>
                <c:pt idx="4">
                  <c:v>5671207.21</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14-E08A-4819-91E4-89673A027F39}"/>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Actual v/s Target KPI - Combined (All Energy)</a:t>
            </a:r>
          </a:p>
        </c:rich>
      </c:tx>
      <c:layout>
        <c:manualLayout>
          <c:xMode val="edge"/>
          <c:yMode val="edge"/>
          <c:x val="0.22934232715008432"/>
          <c:y val="3.1862745098039214E-2"/>
        </c:manualLayout>
      </c:layout>
      <c:overlay val="0"/>
      <c:spPr>
        <a:noFill/>
        <a:ln w="25400">
          <a:noFill/>
        </a:ln>
      </c:spPr>
    </c:title>
    <c:autoTitleDeleted val="0"/>
    <c:plotArea>
      <c:layout>
        <c:manualLayout>
          <c:layoutTarget val="inner"/>
          <c:xMode val="edge"/>
          <c:yMode val="edge"/>
          <c:x val="0.12237219896118305"/>
          <c:y val="0.13636786891738481"/>
          <c:w val="0.85397373253556763"/>
          <c:h val="0.70646132091922964"/>
        </c:manualLayout>
      </c:layout>
      <c:lineChart>
        <c:grouping val="standard"/>
        <c:varyColors val="0"/>
        <c:ser>
          <c:idx val="0"/>
          <c:order val="0"/>
          <c:tx>
            <c:v>Actual</c:v>
          </c:tx>
          <c:spPr>
            <a:ln w="25400">
              <a:solidFill>
                <a:srgbClr val="3366FF"/>
              </a:solidFill>
              <a:prstDash val="solid"/>
            </a:ln>
          </c:spPr>
          <c:marker>
            <c:symbol val="diamond"/>
            <c:size val="5"/>
            <c:spPr>
              <a:solidFill>
                <a:srgbClr val="008080"/>
              </a:solidFill>
              <a:ln>
                <a:solidFill>
                  <a:srgbClr val="008080"/>
                </a:solidFill>
                <a:prstDash val="solid"/>
              </a:ln>
            </c:spPr>
          </c:marker>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KPI!$U$22:$U$33</c:f>
              <c:numCache>
                <c:formatCode>#,##0.00</c:formatCode>
                <c:ptCount val="12"/>
                <c:pt idx="0">
                  <c:v>294.95139899659051</c:v>
                </c:pt>
                <c:pt idx="1">
                  <c:v>440.78819322494201</c:v>
                </c:pt>
                <c:pt idx="2">
                  <c:v>231.58893114612894</c:v>
                </c:pt>
                <c:pt idx="3">
                  <c:v>236.60142158090324</c:v>
                </c:pt>
                <c:pt idx="4">
                  <c:v>272.84583030854509</c:v>
                </c:pt>
                <c:pt idx="5">
                  <c:v>222.32517837819245</c:v>
                </c:pt>
                <c:pt idx="6">
                  <c:v>191.63388396384531</c:v>
                </c:pt>
                <c:pt idx="7">
                  <c:v>176.59697764824185</c:v>
                </c:pt>
                <c:pt idx="8">
                  <c:v>202.41038334662213</c:v>
                </c:pt>
                <c:pt idx="9">
                  <c:v>171.58617664236434</c:v>
                </c:pt>
                <c:pt idx="10">
                  <c:v>197.20684329055743</c:v>
                </c:pt>
                <c:pt idx="11">
                  <c:v>165.81876731170564</c:v>
                </c:pt>
              </c:numCache>
            </c:numRef>
          </c:val>
          <c:smooth val="0"/>
          <c:extLst>
            <c:ext xmlns:c16="http://schemas.microsoft.com/office/drawing/2014/chart" uri="{C3380CC4-5D6E-409C-BE32-E72D297353CC}">
              <c16:uniqueId val="{00000000-9CE8-4C40-8D69-BBB7144A4853}"/>
            </c:ext>
          </c:extLst>
        </c:ser>
        <c:ser>
          <c:idx val="1"/>
          <c:order val="1"/>
          <c:tx>
            <c:v>Target</c:v>
          </c:tx>
          <c:spPr>
            <a:ln w="25400">
              <a:solidFill>
                <a:srgbClr val="993366"/>
              </a:solidFill>
              <a:prstDash val="lgDash"/>
            </a:ln>
          </c:spPr>
          <c:marker>
            <c:symbol val="none"/>
          </c:marker>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KPI!$I$22:$I$33</c:f>
              <c:numCache>
                <c:formatCode>#,##0.00</c:formatCode>
                <c:ptCount val="12"/>
                <c:pt idx="0">
                  <c:v>226.64663032424599</c:v>
                </c:pt>
                <c:pt idx="1">
                  <c:v>226.64663032424599</c:v>
                </c:pt>
                <c:pt idx="2">
                  <c:v>226.64663032424599</c:v>
                </c:pt>
                <c:pt idx="3">
                  <c:v>226.64663032424599</c:v>
                </c:pt>
                <c:pt idx="4">
                  <c:v>226.64663032424599</c:v>
                </c:pt>
                <c:pt idx="5">
                  <c:v>226.64663032424599</c:v>
                </c:pt>
                <c:pt idx="6">
                  <c:v>226.64663032424599</c:v>
                </c:pt>
                <c:pt idx="7">
                  <c:v>226.64663032424599</c:v>
                </c:pt>
                <c:pt idx="8">
                  <c:v>226.64663032424599</c:v>
                </c:pt>
                <c:pt idx="9">
                  <c:v>226.64663032424599</c:v>
                </c:pt>
                <c:pt idx="10">
                  <c:v>226.64663032424599</c:v>
                </c:pt>
                <c:pt idx="11">
                  <c:v>226.64663032424599</c:v>
                </c:pt>
              </c:numCache>
            </c:numRef>
          </c:val>
          <c:smooth val="0"/>
          <c:extLst>
            <c:ext xmlns:c16="http://schemas.microsoft.com/office/drawing/2014/chart" uri="{C3380CC4-5D6E-409C-BE32-E72D297353CC}">
              <c16:uniqueId val="{00000001-9CE8-4C40-8D69-BBB7144A4853}"/>
            </c:ext>
          </c:extLst>
        </c:ser>
        <c:dLbls>
          <c:showLegendKey val="0"/>
          <c:showVal val="0"/>
          <c:showCatName val="0"/>
          <c:showSerName val="0"/>
          <c:showPercent val="0"/>
          <c:showBubbleSize val="0"/>
        </c:dLbls>
        <c:marker val="1"/>
        <c:smooth val="0"/>
        <c:axId val="52910720"/>
        <c:axId val="52937088"/>
      </c:lineChart>
      <c:catAx>
        <c:axId val="52910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937088"/>
        <c:crosses val="autoZero"/>
        <c:auto val="1"/>
        <c:lblAlgn val="ctr"/>
        <c:lblOffset val="100"/>
        <c:tickLblSkip val="1"/>
        <c:tickMarkSkip val="1"/>
        <c:noMultiLvlLbl val="0"/>
      </c:catAx>
      <c:valAx>
        <c:axId val="52937088"/>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8549747048903879E-2"/>
              <c:y val="0.4509814214399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910720"/>
        <c:crosses val="autoZero"/>
        <c:crossBetween val="between"/>
      </c:valAx>
      <c:spPr>
        <a:solidFill>
          <a:srgbClr val="FFFFFF"/>
        </a:solidFill>
        <a:ln w="12700">
          <a:solidFill>
            <a:srgbClr val="969696"/>
          </a:solidFill>
          <a:prstDash val="solid"/>
        </a:ln>
      </c:spPr>
    </c:plotArea>
    <c:legend>
      <c:legendPos val="r"/>
      <c:layout>
        <c:manualLayout>
          <c:xMode val="edge"/>
          <c:yMode val="edge"/>
          <c:x val="0.2263227765733708"/>
          <c:y val="0.93752909880702029"/>
          <c:w val="0.66054670837111717"/>
          <c:h val="5.3031949023427422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99"/>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Regression Analysis - Combined (All Energy)</a:t>
            </a:r>
          </a:p>
        </c:rich>
      </c:tx>
      <c:layout>
        <c:manualLayout>
          <c:xMode val="edge"/>
          <c:yMode val="edge"/>
          <c:x val="0.23310828545080514"/>
          <c:y val="3.0588235294117649E-2"/>
        </c:manualLayout>
      </c:layout>
      <c:overlay val="0"/>
      <c:spPr>
        <a:noFill/>
        <a:ln w="25400">
          <a:noFill/>
        </a:ln>
      </c:spPr>
    </c:title>
    <c:autoTitleDeleted val="0"/>
    <c:plotArea>
      <c:layout>
        <c:manualLayout>
          <c:layoutTarget val="inner"/>
          <c:xMode val="edge"/>
          <c:yMode val="edge"/>
          <c:x val="0.15895740228417393"/>
          <c:y val="0.12000402068691324"/>
          <c:w val="0.79358019436759597"/>
          <c:h val="0.66729508472874477"/>
        </c:manualLayout>
      </c:layout>
      <c:scatterChart>
        <c:scatterStyle val="lineMarker"/>
        <c:varyColors val="0"/>
        <c:ser>
          <c:idx val="0"/>
          <c:order val="0"/>
          <c:tx>
            <c:v>Actual</c:v>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US"/>
                </a:p>
              </c:txPr>
            </c:trendlineLbl>
          </c:trendline>
          <c:xVal>
            <c:numRef>
              <c:f>KPI!$H$22:$H$33</c:f>
              <c:numCache>
                <c:formatCode>#,##0</c:formatCode>
                <c:ptCount val="12"/>
                <c:pt idx="0">
                  <c:v>5243.8011999999999</c:v>
                </c:pt>
                <c:pt idx="1">
                  <c:v>3895.6006000000002</c:v>
                </c:pt>
                <c:pt idx="2">
                  <c:v>7943.2542000000021</c:v>
                </c:pt>
                <c:pt idx="3">
                  <c:v>8762.0310399999998</c:v>
                </c:pt>
                <c:pt idx="4">
                  <c:v>10215.446565</c:v>
                </c:pt>
                <c:pt idx="5">
                  <c:v>13585.664350000001</c:v>
                </c:pt>
                <c:pt idx="6">
                  <c:v>10536.98964</c:v>
                </c:pt>
                <c:pt idx="7">
                  <c:v>12580.607435</c:v>
                </c:pt>
                <c:pt idx="8">
                  <c:v>11772.343199999999</c:v>
                </c:pt>
                <c:pt idx="9">
                  <c:v>13515.370500000001</c:v>
                </c:pt>
                <c:pt idx="10">
                  <c:v>12875.460900000002</c:v>
                </c:pt>
                <c:pt idx="11">
                  <c:v>14465.744975</c:v>
                </c:pt>
              </c:numCache>
            </c:numRef>
          </c:xVal>
          <c:yVal>
            <c:numRef>
              <c:f>KPI!$O$22:$O$33</c:f>
              <c:numCache>
                <c:formatCode>#,##0</c:formatCode>
                <c:ptCount val="12"/>
                <c:pt idx="0">
                  <c:v>1546666.5000000002</c:v>
                </c:pt>
                <c:pt idx="1">
                  <c:v>1717134.75</c:v>
                </c:pt>
                <c:pt idx="2">
                  <c:v>1839569.75</c:v>
                </c:pt>
                <c:pt idx="3">
                  <c:v>2073109</c:v>
                </c:pt>
                <c:pt idx="4">
                  <c:v>2787242</c:v>
                </c:pt>
                <c:pt idx="5">
                  <c:v>3020435.25</c:v>
                </c:pt>
                <c:pt idx="6">
                  <c:v>2019244.25</c:v>
                </c:pt>
                <c:pt idx="7">
                  <c:v>2221697.25</c:v>
                </c:pt>
                <c:pt idx="8">
                  <c:v>2382844.5</c:v>
                </c:pt>
                <c:pt idx="9">
                  <c:v>2319050.75</c:v>
                </c:pt>
                <c:pt idx="10">
                  <c:v>2539129</c:v>
                </c:pt>
                <c:pt idx="11">
                  <c:v>2398692</c:v>
                </c:pt>
              </c:numCache>
            </c:numRef>
          </c:yVal>
          <c:smooth val="0"/>
          <c:extLst>
            <c:ext xmlns:c16="http://schemas.microsoft.com/office/drawing/2014/chart" uri="{C3380CC4-5D6E-409C-BE32-E72D297353CC}">
              <c16:uniqueId val="{00000001-7F71-4290-BC68-8A8555F33A00}"/>
            </c:ext>
          </c:extLst>
        </c:ser>
        <c:dLbls>
          <c:showLegendKey val="0"/>
          <c:showVal val="0"/>
          <c:showCatName val="0"/>
          <c:showSerName val="0"/>
          <c:showPercent val="0"/>
          <c:showBubbleSize val="0"/>
        </c:dLbls>
        <c:axId val="52967680"/>
        <c:axId val="52973952"/>
      </c:scatterChart>
      <c:valAx>
        <c:axId val="52967680"/>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da-DK"/>
                  <a:t>Activity</a:t>
                </a:r>
              </a:p>
            </c:rich>
          </c:tx>
          <c:layout>
            <c:manualLayout>
              <c:xMode val="edge"/>
              <c:yMode val="edge"/>
              <c:x val="0.50337873306377245"/>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973952"/>
        <c:crosses val="autoZero"/>
        <c:crossBetween val="midCat"/>
      </c:valAx>
      <c:valAx>
        <c:axId val="52973952"/>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Monthly Energy Consumption [kWh]</a:t>
                </a:r>
              </a:p>
            </c:rich>
          </c:tx>
          <c:layout>
            <c:manualLayout>
              <c:xMode val="edge"/>
              <c:yMode val="edge"/>
              <c:x val="1.8581081081081082E-2"/>
              <c:y val="0.1529411764705882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967680"/>
        <c:crosses val="autoZero"/>
        <c:crossBetween val="midCat"/>
      </c:valAx>
      <c:spPr>
        <a:noFill/>
        <a:ln w="12700">
          <a:solidFill>
            <a:srgbClr val="969696"/>
          </a:solidFill>
          <a:prstDash val="solid"/>
        </a:ln>
      </c:spPr>
    </c:plotArea>
    <c:legend>
      <c:legendPos val="r"/>
      <c:layout>
        <c:manualLayout>
          <c:xMode val="edge"/>
          <c:yMode val="edge"/>
          <c:x val="0.19921495593810157"/>
          <c:y val="0.9400314953808202"/>
          <c:w val="0.66229078066839076"/>
          <c:h val="5.091079665505409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Regression Analysis - All Thermal Energy</a:t>
            </a:r>
          </a:p>
        </c:rich>
      </c:tx>
      <c:layout>
        <c:manualLayout>
          <c:xMode val="edge"/>
          <c:yMode val="edge"/>
          <c:x val="0.25463743676222594"/>
          <c:y val="3.0588235294117649E-2"/>
        </c:manualLayout>
      </c:layout>
      <c:overlay val="0"/>
      <c:spPr>
        <a:noFill/>
        <a:ln w="25400">
          <a:noFill/>
        </a:ln>
      </c:spPr>
    </c:title>
    <c:autoTitleDeleted val="0"/>
    <c:plotArea>
      <c:layout>
        <c:manualLayout>
          <c:layoutTarget val="inner"/>
          <c:xMode val="edge"/>
          <c:yMode val="edge"/>
          <c:x val="0.16078343980587334"/>
          <c:y val="0.12000402068691324"/>
          <c:w val="0.79187766623511702"/>
          <c:h val="0.66729508472874477"/>
        </c:manualLayout>
      </c:layout>
      <c:scatterChart>
        <c:scatterStyle val="lineMarker"/>
        <c:varyColors val="0"/>
        <c:ser>
          <c:idx val="0"/>
          <c:order val="0"/>
          <c:tx>
            <c:strRef>
              <c:f>KPI!$N$20</c:f>
              <c:strCache>
                <c:ptCount val="1"/>
                <c:pt idx="0">
                  <c:v>All Thermal</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US"/>
                </a:p>
              </c:txPr>
            </c:trendlineLbl>
          </c:trendline>
          <c:xVal>
            <c:numRef>
              <c:f>KPI!$G$22:$G$33</c:f>
              <c:numCache>
                <c:formatCode>#,##0</c:formatCode>
                <c:ptCount val="12"/>
                <c:pt idx="0">
                  <c:v>5243.8011999999999</c:v>
                </c:pt>
                <c:pt idx="1">
                  <c:v>3895.6006000000002</c:v>
                </c:pt>
                <c:pt idx="2">
                  <c:v>7943.2542000000021</c:v>
                </c:pt>
                <c:pt idx="3">
                  <c:v>8762.0310399999998</c:v>
                </c:pt>
                <c:pt idx="4">
                  <c:v>10215.446565</c:v>
                </c:pt>
                <c:pt idx="5">
                  <c:v>13585.664350000001</c:v>
                </c:pt>
                <c:pt idx="6">
                  <c:v>10536.98964</c:v>
                </c:pt>
                <c:pt idx="7">
                  <c:v>12580.607435</c:v>
                </c:pt>
                <c:pt idx="8">
                  <c:v>11772.343199999999</c:v>
                </c:pt>
                <c:pt idx="9">
                  <c:v>13515.370500000001</c:v>
                </c:pt>
                <c:pt idx="10">
                  <c:v>12875.460900000002</c:v>
                </c:pt>
                <c:pt idx="11">
                  <c:v>14465.744975</c:v>
                </c:pt>
              </c:numCache>
            </c:numRef>
          </c:xVal>
          <c:yVal>
            <c:numRef>
              <c:f>KPI!$N$22:$N$33</c:f>
              <c:numCache>
                <c:formatCode>#,##0</c:formatCode>
                <c:ptCount val="12"/>
                <c:pt idx="0">
                  <c:v>624712.5</c:v>
                </c:pt>
                <c:pt idx="1">
                  <c:v>791088.75</c:v>
                </c:pt>
                <c:pt idx="2">
                  <c:v>905433.75</c:v>
                </c:pt>
                <c:pt idx="3">
                  <c:v>918855</c:v>
                </c:pt>
                <c:pt idx="4">
                  <c:v>1447920</c:v>
                </c:pt>
                <c:pt idx="5">
                  <c:v>1440956.25</c:v>
                </c:pt>
                <c:pt idx="6">
                  <c:v>845336.25</c:v>
                </c:pt>
                <c:pt idx="7">
                  <c:v>847586.25</c:v>
                </c:pt>
                <c:pt idx="8">
                  <c:v>832162.5</c:v>
                </c:pt>
                <c:pt idx="9">
                  <c:v>942648.75</c:v>
                </c:pt>
                <c:pt idx="10">
                  <c:v>1057635</c:v>
                </c:pt>
                <c:pt idx="11">
                  <c:v>1068750</c:v>
                </c:pt>
              </c:numCache>
            </c:numRef>
          </c:yVal>
          <c:smooth val="0"/>
          <c:extLst>
            <c:ext xmlns:c16="http://schemas.microsoft.com/office/drawing/2014/chart" uri="{C3380CC4-5D6E-409C-BE32-E72D297353CC}">
              <c16:uniqueId val="{00000001-B96B-44D7-ACE5-35FB3AE4F793}"/>
            </c:ext>
          </c:extLst>
        </c:ser>
        <c:dLbls>
          <c:showLegendKey val="0"/>
          <c:showVal val="0"/>
          <c:showCatName val="0"/>
          <c:showSerName val="0"/>
          <c:showPercent val="0"/>
          <c:showBubbleSize val="0"/>
        </c:dLbls>
        <c:axId val="53016448"/>
        <c:axId val="53092352"/>
      </c:scatterChart>
      <c:valAx>
        <c:axId val="53016448"/>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da-DK"/>
                  <a:t>Activity</a:t>
                </a:r>
              </a:p>
            </c:rich>
          </c:tx>
          <c:layout>
            <c:manualLayout>
              <c:xMode val="edge"/>
              <c:yMode val="edge"/>
              <c:x val="0.50421585160202365"/>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092352"/>
        <c:crosses val="autoZero"/>
        <c:crossBetween val="midCat"/>
      </c:valAx>
      <c:valAx>
        <c:axId val="53092352"/>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Monthly Thermal Energy Consumption [kWh]</a:t>
                </a:r>
              </a:p>
            </c:rich>
          </c:tx>
          <c:layout>
            <c:manualLayout>
              <c:xMode val="edge"/>
              <c:yMode val="edge"/>
              <c:x val="1.2924033080770567E-2"/>
              <c:y val="5.5968627450980399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016448"/>
        <c:crosses val="autoZero"/>
        <c:crossBetween val="midCat"/>
      </c:valAx>
      <c:spPr>
        <a:noFill/>
        <a:ln w="12700">
          <a:solidFill>
            <a:srgbClr val="969696"/>
          </a:solidFill>
          <a:prstDash val="solid"/>
        </a:ln>
      </c:spPr>
    </c:plotArea>
    <c:legend>
      <c:legendPos val="r"/>
      <c:layout>
        <c:manualLayout>
          <c:xMode val="edge"/>
          <c:yMode val="edge"/>
          <c:x val="0.20000617464623466"/>
          <c:y val="0.9400314953808202"/>
          <c:w val="0.66054670837111717"/>
          <c:h val="5.091079665505409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Regression Analysis - Electricity</a:t>
            </a:r>
          </a:p>
        </c:rich>
      </c:tx>
      <c:layout>
        <c:manualLayout>
          <c:xMode val="edge"/>
          <c:yMode val="edge"/>
          <c:x val="0.30574342058594028"/>
          <c:y val="3.0588235294117649E-2"/>
        </c:manualLayout>
      </c:layout>
      <c:overlay val="0"/>
      <c:spPr>
        <a:noFill/>
        <a:ln w="25400">
          <a:noFill/>
        </a:ln>
      </c:spPr>
    </c:title>
    <c:autoTitleDeleted val="0"/>
    <c:plotArea>
      <c:layout>
        <c:manualLayout>
          <c:layoutTarget val="inner"/>
          <c:xMode val="edge"/>
          <c:yMode val="edge"/>
          <c:x val="0.16074272485347096"/>
          <c:y val="0.11636753521155221"/>
          <c:w val="0.7918555544011151"/>
          <c:h val="0.67093157020410576"/>
        </c:manualLayout>
      </c:layout>
      <c:scatterChart>
        <c:scatterStyle val="lineMarker"/>
        <c:varyColors val="0"/>
        <c:ser>
          <c:idx val="0"/>
          <c:order val="0"/>
          <c:tx>
            <c:strRef>
              <c:f>KPI!$J$20</c:f>
              <c:strCache>
                <c:ptCount val="1"/>
                <c:pt idx="0">
                  <c:v>Electricity</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US"/>
                </a:p>
              </c:txPr>
            </c:trendlineLbl>
          </c:trendline>
          <c:xVal>
            <c:numRef>
              <c:f>KPI!$C$22:$C$33</c:f>
              <c:numCache>
                <c:formatCode>#,##0</c:formatCode>
                <c:ptCount val="12"/>
                <c:pt idx="0">
                  <c:v>5243.8011999999999</c:v>
                </c:pt>
                <c:pt idx="1">
                  <c:v>3895.6006000000002</c:v>
                </c:pt>
                <c:pt idx="2">
                  <c:v>7943.2542000000021</c:v>
                </c:pt>
                <c:pt idx="3">
                  <c:v>8762.0310399999998</c:v>
                </c:pt>
                <c:pt idx="4">
                  <c:v>10215.446565</c:v>
                </c:pt>
                <c:pt idx="5">
                  <c:v>13585.664350000001</c:v>
                </c:pt>
                <c:pt idx="6">
                  <c:v>10536.98964</c:v>
                </c:pt>
                <c:pt idx="7">
                  <c:v>12580.607435</c:v>
                </c:pt>
                <c:pt idx="8">
                  <c:v>11772.343199999999</c:v>
                </c:pt>
                <c:pt idx="9">
                  <c:v>13515.370500000001</c:v>
                </c:pt>
                <c:pt idx="10">
                  <c:v>12875.460900000002</c:v>
                </c:pt>
                <c:pt idx="11">
                  <c:v>14465.744975</c:v>
                </c:pt>
              </c:numCache>
            </c:numRef>
          </c:xVal>
          <c:yVal>
            <c:numRef>
              <c:f>KPI!$J$22:$J$33</c:f>
              <c:numCache>
                <c:formatCode>#,##0</c:formatCode>
                <c:ptCount val="12"/>
                <c:pt idx="0">
                  <c:v>921954.00000000023</c:v>
                </c:pt>
                <c:pt idx="1">
                  <c:v>926046.00000000012</c:v>
                </c:pt>
                <c:pt idx="2">
                  <c:v>934136</c:v>
                </c:pt>
                <c:pt idx="3">
                  <c:v>1154254</c:v>
                </c:pt>
                <c:pt idx="4">
                  <c:v>1339322.0000000002</c:v>
                </c:pt>
                <c:pt idx="5">
                  <c:v>1579478.9999999998</c:v>
                </c:pt>
                <c:pt idx="6">
                  <c:v>1173908</c:v>
                </c:pt>
                <c:pt idx="7">
                  <c:v>1374111</c:v>
                </c:pt>
                <c:pt idx="8">
                  <c:v>1550682.0000000002</c:v>
                </c:pt>
                <c:pt idx="9">
                  <c:v>1376402</c:v>
                </c:pt>
                <c:pt idx="10">
                  <c:v>1481494.0000000002</c:v>
                </c:pt>
                <c:pt idx="11">
                  <c:v>1329942</c:v>
                </c:pt>
              </c:numCache>
            </c:numRef>
          </c:yVal>
          <c:smooth val="0"/>
          <c:extLst>
            <c:ext xmlns:c16="http://schemas.microsoft.com/office/drawing/2014/chart" uri="{C3380CC4-5D6E-409C-BE32-E72D297353CC}">
              <c16:uniqueId val="{00000001-AB43-4D96-A06D-9779185837B5}"/>
            </c:ext>
          </c:extLst>
        </c:ser>
        <c:dLbls>
          <c:showLegendKey val="0"/>
          <c:showVal val="0"/>
          <c:showCatName val="0"/>
          <c:showSerName val="0"/>
          <c:showPercent val="0"/>
          <c:showBubbleSize val="0"/>
        </c:dLbls>
        <c:axId val="53138944"/>
        <c:axId val="53140864"/>
      </c:scatterChart>
      <c:valAx>
        <c:axId val="53138944"/>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da-DK"/>
                  <a:t>Activity</a:t>
                </a:r>
              </a:p>
            </c:rich>
          </c:tx>
          <c:layout>
            <c:manualLayout>
              <c:xMode val="edge"/>
              <c:yMode val="edge"/>
              <c:x val="0.51351386819890754"/>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140864"/>
        <c:crosses val="autoZero"/>
        <c:crossBetween val="midCat"/>
      </c:valAx>
      <c:valAx>
        <c:axId val="53140864"/>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Monthly Electricity Consumption [kWh]</a:t>
                </a:r>
              </a:p>
            </c:rich>
          </c:tx>
          <c:layout>
            <c:manualLayout>
              <c:xMode val="edge"/>
              <c:yMode val="edge"/>
              <c:x val="1.3513513513513514E-2"/>
              <c:y val="0.18117647058823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138944"/>
        <c:crosses val="autoZero"/>
        <c:crossBetween val="midCat"/>
      </c:valAx>
      <c:spPr>
        <a:noFill/>
        <a:ln w="12700">
          <a:solidFill>
            <a:srgbClr val="969696"/>
          </a:solidFill>
          <a:prstDash val="solid"/>
        </a:ln>
      </c:spPr>
    </c:plotArea>
    <c:legend>
      <c:legendPos val="r"/>
      <c:layout>
        <c:manualLayout>
          <c:xMode val="edge"/>
          <c:yMode val="edge"/>
          <c:x val="0.21608038422925605"/>
          <c:y val="0.9400314953808202"/>
          <c:w val="0.66141678587247887"/>
          <c:h val="5.0910796655054096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Regression Analysis - Natural Gas</a:t>
            </a:r>
          </a:p>
        </c:rich>
      </c:tx>
      <c:layout>
        <c:manualLayout>
          <c:xMode val="edge"/>
          <c:yMode val="edge"/>
          <c:x val="0.30574342058594028"/>
          <c:y val="3.0588235294117649E-2"/>
        </c:manualLayout>
      </c:layout>
      <c:overlay val="0"/>
      <c:spPr>
        <a:noFill/>
        <a:ln w="25400">
          <a:noFill/>
        </a:ln>
      </c:spPr>
    </c:title>
    <c:autoTitleDeleted val="0"/>
    <c:plotArea>
      <c:layout>
        <c:manualLayout>
          <c:layoutTarget val="inner"/>
          <c:xMode val="edge"/>
          <c:yMode val="edge"/>
          <c:x val="0.15311441022702352"/>
          <c:y val="0.14495868480671109"/>
          <c:w val="0.78375657052302428"/>
          <c:h val="0.62113104033017252"/>
        </c:manualLayout>
      </c:layout>
      <c:scatterChart>
        <c:scatterStyle val="lineMarker"/>
        <c:varyColors val="0"/>
        <c:ser>
          <c:idx val="0"/>
          <c:order val="0"/>
          <c:tx>
            <c:strRef>
              <c:f>KPI!$K$20</c:f>
              <c:strCache>
                <c:ptCount val="1"/>
                <c:pt idx="0">
                  <c:v>Natural Gas</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US"/>
                </a:p>
              </c:txPr>
            </c:trendlineLbl>
          </c:trendline>
          <c:xVal>
            <c:numRef>
              <c:f>KPI!$D$22:$D$33</c:f>
              <c:numCache>
                <c:formatCode>#,##0</c:formatCode>
                <c:ptCount val="12"/>
                <c:pt idx="0">
                  <c:v>5243.8011999999999</c:v>
                </c:pt>
                <c:pt idx="1">
                  <c:v>3895.6006000000002</c:v>
                </c:pt>
                <c:pt idx="2">
                  <c:v>7943.2542000000021</c:v>
                </c:pt>
                <c:pt idx="3">
                  <c:v>8762.0310399999998</c:v>
                </c:pt>
                <c:pt idx="4">
                  <c:v>10215.446565</c:v>
                </c:pt>
                <c:pt idx="5">
                  <c:v>13585.664350000001</c:v>
                </c:pt>
                <c:pt idx="6">
                  <c:v>10536.98964</c:v>
                </c:pt>
                <c:pt idx="7">
                  <c:v>12580.607435</c:v>
                </c:pt>
                <c:pt idx="8">
                  <c:v>11772.343199999999</c:v>
                </c:pt>
                <c:pt idx="9">
                  <c:v>13515.370500000001</c:v>
                </c:pt>
                <c:pt idx="10">
                  <c:v>12875.460900000002</c:v>
                </c:pt>
                <c:pt idx="11">
                  <c:v>14465.744975</c:v>
                </c:pt>
              </c:numCache>
            </c:numRef>
          </c:xVal>
          <c:yVal>
            <c:numRef>
              <c:f>KPI!$K$22:$K$33</c:f>
              <c:numCache>
                <c:formatCode>#,##0</c:formatCode>
                <c:ptCount val="12"/>
                <c:pt idx="0">
                  <c:v>624712.5</c:v>
                </c:pt>
                <c:pt idx="1">
                  <c:v>791088.75</c:v>
                </c:pt>
                <c:pt idx="2">
                  <c:v>905433.75</c:v>
                </c:pt>
                <c:pt idx="3">
                  <c:v>918855</c:v>
                </c:pt>
                <c:pt idx="4">
                  <c:v>1447920</c:v>
                </c:pt>
                <c:pt idx="5">
                  <c:v>1440956.25</c:v>
                </c:pt>
                <c:pt idx="6">
                  <c:v>845336.25</c:v>
                </c:pt>
                <c:pt idx="7">
                  <c:v>847586.25</c:v>
                </c:pt>
                <c:pt idx="8">
                  <c:v>832162.5</c:v>
                </c:pt>
                <c:pt idx="9">
                  <c:v>942648.75</c:v>
                </c:pt>
                <c:pt idx="10">
                  <c:v>1057635</c:v>
                </c:pt>
                <c:pt idx="11">
                  <c:v>1068750</c:v>
                </c:pt>
              </c:numCache>
            </c:numRef>
          </c:yVal>
          <c:smooth val="0"/>
          <c:extLst>
            <c:ext xmlns:c16="http://schemas.microsoft.com/office/drawing/2014/chart" uri="{C3380CC4-5D6E-409C-BE32-E72D297353CC}">
              <c16:uniqueId val="{00000001-046B-4C4A-B06F-00E033373B93}"/>
            </c:ext>
          </c:extLst>
        </c:ser>
        <c:dLbls>
          <c:showLegendKey val="0"/>
          <c:showVal val="0"/>
          <c:showCatName val="0"/>
          <c:showSerName val="0"/>
          <c:showPercent val="0"/>
          <c:showBubbleSize val="0"/>
        </c:dLbls>
        <c:axId val="53187712"/>
        <c:axId val="53189632"/>
      </c:scatterChart>
      <c:valAx>
        <c:axId val="53187712"/>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da-DK"/>
                  <a:t>Activity</a:t>
                </a:r>
              </a:p>
            </c:rich>
          </c:tx>
          <c:layout>
            <c:manualLayout>
              <c:xMode val="edge"/>
              <c:yMode val="edge"/>
              <c:x val="0.50452915083727734"/>
              <c:y val="0.842352853161763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189632"/>
        <c:crosses val="autoZero"/>
        <c:crossBetween val="midCat"/>
      </c:valAx>
      <c:valAx>
        <c:axId val="53189632"/>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Monthly Electricity Consumption [kWh]</a:t>
                </a:r>
              </a:p>
            </c:rich>
          </c:tx>
          <c:layout>
            <c:manualLayout>
              <c:xMode val="edge"/>
              <c:yMode val="edge"/>
              <c:x val="1.3513523073766723E-2"/>
              <c:y val="0.105166925393233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187712"/>
        <c:crosses val="autoZero"/>
        <c:crossBetween val="midCat"/>
      </c:valAx>
      <c:spPr>
        <a:noFill/>
        <a:ln w="12700">
          <a:solidFill>
            <a:srgbClr val="969696"/>
          </a:solidFill>
          <a:prstDash val="solid"/>
        </a:ln>
      </c:spPr>
    </c:plotArea>
    <c:legend>
      <c:legendPos val="b"/>
      <c:layout>
        <c:manualLayout>
          <c:xMode val="edge"/>
          <c:yMode val="edge"/>
          <c:x val="0.21184869579981747"/>
          <c:y val="0.92442141881908468"/>
          <c:w val="0.66186253846747378"/>
          <c:h val="5.321268176448887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da-DK"/>
              <a:t>Actual v/s Target Electricity Consumption</a:t>
            </a:r>
          </a:p>
        </c:rich>
      </c:tx>
      <c:layout>
        <c:manualLayout>
          <c:xMode val="edge"/>
          <c:yMode val="edge"/>
          <c:x val="0.26036519066957425"/>
          <c:y val="3.3898305084745763E-2"/>
        </c:manualLayout>
      </c:layout>
      <c:overlay val="0"/>
      <c:spPr>
        <a:noFill/>
        <a:ln w="25400">
          <a:noFill/>
        </a:ln>
      </c:spPr>
    </c:title>
    <c:autoTitleDeleted val="0"/>
    <c:plotArea>
      <c:layout>
        <c:manualLayout>
          <c:layoutTarget val="inner"/>
          <c:xMode val="edge"/>
          <c:yMode val="edge"/>
          <c:x val="0.16849959152456936"/>
          <c:y val="0.17249462293654899"/>
          <c:w val="0.79660270115242215"/>
          <c:h val="0.61574029959628884"/>
        </c:manualLayout>
      </c:layout>
      <c:scatterChart>
        <c:scatterStyle val="lineMarker"/>
        <c:varyColors val="0"/>
        <c:ser>
          <c:idx val="0"/>
          <c:order val="0"/>
          <c:tx>
            <c:strRef>
              <c:f>Electricity!$CL$10</c:f>
              <c:strCache>
                <c:ptCount val="1"/>
                <c:pt idx="0">
                  <c:v>Actual (Cumulative)</c:v>
                </c:pt>
              </c:strCache>
            </c:strRef>
          </c:tx>
          <c:spPr>
            <a:ln w="25400">
              <a:solidFill>
                <a:srgbClr val="008080"/>
              </a:solidFill>
              <a:prstDash val="solid"/>
            </a:ln>
          </c:spPr>
          <c:marker>
            <c:symbol val="none"/>
          </c:marker>
          <c:xVal>
            <c:numRef>
              <c:f>Electricity!$CM$9:$DL$9</c:f>
              <c:numCache>
                <c:formatCode>#,##0</c:formatCode>
                <c:ptCount val="26"/>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Electricity!$CM$10:$DL$10</c:f>
              <c:numCache>
                <c:formatCode>#,##0</c:formatCode>
                <c:ptCount val="26"/>
                <c:pt idx="0">
                  <c:v>0</c:v>
                </c:pt>
                <c:pt idx="1">
                  <c:v>921954.00000000023</c:v>
                </c:pt>
                <c:pt idx="2">
                  <c:v>921954.00000000023</c:v>
                </c:pt>
                <c:pt idx="3">
                  <c:v>1848000.0000000005</c:v>
                </c:pt>
                <c:pt idx="4">
                  <c:v>1848000.0000000005</c:v>
                </c:pt>
                <c:pt idx="5">
                  <c:v>2782136.0000000005</c:v>
                </c:pt>
                <c:pt idx="6">
                  <c:v>2782136.0000000005</c:v>
                </c:pt>
                <c:pt idx="7">
                  <c:v>3936390.0000000005</c:v>
                </c:pt>
                <c:pt idx="8">
                  <c:v>3936390.0000000005</c:v>
                </c:pt>
                <c:pt idx="9">
                  <c:v>5275712.0000000009</c:v>
                </c:pt>
                <c:pt idx="10">
                  <c:v>5275712.0000000009</c:v>
                </c:pt>
                <c:pt idx="11">
                  <c:v>6855191.0000000009</c:v>
                </c:pt>
                <c:pt idx="12">
                  <c:v>6855191.0000000009</c:v>
                </c:pt>
                <c:pt idx="13">
                  <c:v>8029099.0000000009</c:v>
                </c:pt>
                <c:pt idx="14">
                  <c:v>8029099.0000000009</c:v>
                </c:pt>
                <c:pt idx="15">
                  <c:v>9403210</c:v>
                </c:pt>
                <c:pt idx="16">
                  <c:v>9403210</c:v>
                </c:pt>
                <c:pt idx="17">
                  <c:v>10953892</c:v>
                </c:pt>
                <c:pt idx="18">
                  <c:v>10953892</c:v>
                </c:pt>
                <c:pt idx="19">
                  <c:v>12330294</c:v>
                </c:pt>
                <c:pt idx="20">
                  <c:v>12330294</c:v>
                </c:pt>
                <c:pt idx="21">
                  <c:v>13811788</c:v>
                </c:pt>
                <c:pt idx="22">
                  <c:v>13811788</c:v>
                </c:pt>
                <c:pt idx="23">
                  <c:v>15141730</c:v>
                </c:pt>
                <c:pt idx="24">
                  <c:v>15141730</c:v>
                </c:pt>
              </c:numCache>
            </c:numRef>
          </c:yVal>
          <c:smooth val="0"/>
          <c:extLst>
            <c:ext xmlns:c16="http://schemas.microsoft.com/office/drawing/2014/chart" uri="{C3380CC4-5D6E-409C-BE32-E72D297353CC}">
              <c16:uniqueId val="{00000000-2945-4183-B69C-F54AFCCC73BB}"/>
            </c:ext>
          </c:extLst>
        </c:ser>
        <c:ser>
          <c:idx val="1"/>
          <c:order val="1"/>
          <c:tx>
            <c:strRef>
              <c:f>Electricity!$CL$11</c:f>
              <c:strCache>
                <c:ptCount val="1"/>
                <c:pt idx="0">
                  <c:v>Target (Cumulative)</c:v>
                </c:pt>
              </c:strCache>
            </c:strRef>
          </c:tx>
          <c:spPr>
            <a:ln w="25400">
              <a:solidFill>
                <a:srgbClr val="993366"/>
              </a:solidFill>
              <a:prstDash val="sysDash"/>
            </a:ln>
          </c:spPr>
          <c:marker>
            <c:symbol val="none"/>
          </c:marker>
          <c:xVal>
            <c:numRef>
              <c:f>Electricity!$CM$9:$DL$9</c:f>
              <c:numCache>
                <c:formatCode>#,##0</c:formatCode>
                <c:ptCount val="26"/>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Electricity!$CM$11:$DL$11</c:f>
              <c:numCache>
                <c:formatCode>#,##0</c:formatCode>
                <c:ptCount val="26"/>
                <c:pt idx="0">
                  <c:v>0</c:v>
                </c:pt>
                <c:pt idx="1">
                  <c:v>1262445.2272727271</c:v>
                </c:pt>
                <c:pt idx="2">
                  <c:v>1262445.2272727271</c:v>
                </c:pt>
                <c:pt idx="3">
                  <c:v>2524890.4545454541</c:v>
                </c:pt>
                <c:pt idx="4">
                  <c:v>2524890.4545454541</c:v>
                </c:pt>
                <c:pt idx="5">
                  <c:v>3787335.6818181812</c:v>
                </c:pt>
                <c:pt idx="6">
                  <c:v>3787335.6818181812</c:v>
                </c:pt>
                <c:pt idx="7">
                  <c:v>5049780.9090909082</c:v>
                </c:pt>
                <c:pt idx="8">
                  <c:v>5049780.9090909082</c:v>
                </c:pt>
                <c:pt idx="9">
                  <c:v>6312226.1363636348</c:v>
                </c:pt>
                <c:pt idx="10">
                  <c:v>6312226.1363636348</c:v>
                </c:pt>
                <c:pt idx="11">
                  <c:v>7574671.3636363614</c:v>
                </c:pt>
                <c:pt idx="12">
                  <c:v>7574671.3636363614</c:v>
                </c:pt>
                <c:pt idx="13">
                  <c:v>8837116.590909088</c:v>
                </c:pt>
                <c:pt idx="14">
                  <c:v>8837116.590909088</c:v>
                </c:pt>
                <c:pt idx="15">
                  <c:v>10099561.818181815</c:v>
                </c:pt>
                <c:pt idx="16">
                  <c:v>10099561.818181815</c:v>
                </c:pt>
                <c:pt idx="17">
                  <c:v>11362007.045454541</c:v>
                </c:pt>
                <c:pt idx="18">
                  <c:v>11362007.045454541</c:v>
                </c:pt>
                <c:pt idx="19">
                  <c:v>12624452.272727268</c:v>
                </c:pt>
                <c:pt idx="20">
                  <c:v>12624452.272727268</c:v>
                </c:pt>
                <c:pt idx="21">
                  <c:v>13886897.499999994</c:v>
                </c:pt>
                <c:pt idx="22">
                  <c:v>13886897.499999994</c:v>
                </c:pt>
                <c:pt idx="23">
                  <c:v>15149342.727272721</c:v>
                </c:pt>
                <c:pt idx="24">
                  <c:v>15149342.727272721</c:v>
                </c:pt>
              </c:numCache>
            </c:numRef>
          </c:yVal>
          <c:smooth val="0"/>
          <c:extLst>
            <c:ext xmlns:c16="http://schemas.microsoft.com/office/drawing/2014/chart" uri="{C3380CC4-5D6E-409C-BE32-E72D297353CC}">
              <c16:uniqueId val="{00000001-2945-4183-B69C-F54AFCCC73BB}"/>
            </c:ext>
          </c:extLst>
        </c:ser>
        <c:dLbls>
          <c:showLegendKey val="0"/>
          <c:showVal val="0"/>
          <c:showCatName val="0"/>
          <c:showSerName val="0"/>
          <c:showPercent val="0"/>
          <c:showBubbleSize val="0"/>
        </c:dLbls>
        <c:axId val="50370816"/>
        <c:axId val="50381184"/>
      </c:scatterChart>
      <c:valAx>
        <c:axId val="50370816"/>
        <c:scaling>
          <c:orientation val="minMax"/>
          <c:max val="13"/>
          <c:min val="0"/>
        </c:scaling>
        <c:delete val="0"/>
        <c:axPos val="b"/>
        <c:title>
          <c:tx>
            <c:rich>
              <a:bodyPr/>
              <a:lstStyle/>
              <a:p>
                <a:pPr>
                  <a:defRPr sz="900" b="1" i="0" u="none" strike="noStrike" baseline="0">
                    <a:solidFill>
                      <a:srgbClr val="000000"/>
                    </a:solidFill>
                    <a:latin typeface="Arial"/>
                    <a:ea typeface="Arial"/>
                    <a:cs typeface="Arial"/>
                  </a:defRPr>
                </a:pPr>
                <a:r>
                  <a:rPr lang="da-DK"/>
                  <a:t>Month</a:t>
                </a:r>
              </a:p>
            </c:rich>
          </c:tx>
          <c:layout>
            <c:manualLayout>
              <c:xMode val="edge"/>
              <c:yMode val="edge"/>
              <c:x val="0.51360005783129981"/>
              <c:y val="0.8450053047651197"/>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381184"/>
        <c:crosses val="autoZero"/>
        <c:crossBetween val="midCat"/>
        <c:majorUnit val="2"/>
      </c:valAx>
      <c:valAx>
        <c:axId val="50381184"/>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da-DK"/>
                  <a:t>Cumulative Electricity Consumption [kWh]</a:t>
                </a:r>
              </a:p>
            </c:rich>
          </c:tx>
          <c:layout>
            <c:manualLayout>
              <c:xMode val="edge"/>
              <c:yMode val="edge"/>
              <c:x val="3.0403537866224434E-2"/>
              <c:y val="0.1873828906979847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370816"/>
        <c:crosses val="autoZero"/>
        <c:crossBetween val="midCat"/>
      </c:valAx>
      <c:spPr>
        <a:noFill/>
        <a:ln w="12700">
          <a:solidFill>
            <a:srgbClr val="808080"/>
          </a:solidFill>
          <a:prstDash val="solid"/>
        </a:ln>
      </c:spPr>
    </c:plotArea>
    <c:legend>
      <c:legendPos val="r"/>
      <c:layout>
        <c:manualLayout>
          <c:xMode val="edge"/>
          <c:yMode val="edge"/>
          <c:x val="0.25744688037387575"/>
          <c:y val="0.92579392563413643"/>
          <c:w val="0.56276076865646207"/>
          <c:h val="6.332081095139140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Regression Analysis - LPG Gas</a:t>
            </a:r>
          </a:p>
        </c:rich>
      </c:tx>
      <c:layout>
        <c:manualLayout>
          <c:xMode val="edge"/>
          <c:yMode val="edge"/>
          <c:x val="0.30574342058594028"/>
          <c:y val="3.0588235294117649E-2"/>
        </c:manualLayout>
      </c:layout>
      <c:overlay val="0"/>
      <c:spPr>
        <a:noFill/>
        <a:ln w="25400">
          <a:noFill/>
        </a:ln>
      </c:spPr>
    </c:title>
    <c:autoTitleDeleted val="0"/>
    <c:plotArea>
      <c:layout>
        <c:manualLayout>
          <c:layoutTarget val="inner"/>
          <c:xMode val="edge"/>
          <c:yMode val="edge"/>
          <c:x val="0.12385095193628089"/>
          <c:y val="0.13480070022461299"/>
          <c:w val="0.81293656749665222"/>
          <c:h val="0.56428200094024039"/>
        </c:manualLayout>
      </c:layout>
      <c:scatterChart>
        <c:scatterStyle val="lineMarker"/>
        <c:varyColors val="0"/>
        <c:ser>
          <c:idx val="0"/>
          <c:order val="0"/>
          <c:tx>
            <c:strRef>
              <c:f>KPI!$L$20</c:f>
              <c:strCache>
                <c:ptCount val="1"/>
                <c:pt idx="0">
                  <c:v>LPG</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US"/>
                </a:p>
              </c:txPr>
            </c:trendlineLbl>
          </c:trendline>
          <c:xVal>
            <c:numRef>
              <c:f>KPI!$E$22:$E$33</c:f>
              <c:numCache>
                <c:formatCode>#,##0</c:formatCode>
                <c:ptCount val="12"/>
              </c:numCache>
            </c:numRef>
          </c:xVal>
          <c:yVal>
            <c:numRef>
              <c:f>KPI!$L$22:$L$33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8A56-4D50-8D9A-0443451CA12E}"/>
            </c:ext>
          </c:extLst>
        </c:ser>
        <c:dLbls>
          <c:showLegendKey val="0"/>
          <c:showVal val="0"/>
          <c:showCatName val="0"/>
          <c:showSerName val="0"/>
          <c:showPercent val="0"/>
          <c:showBubbleSize val="0"/>
        </c:dLbls>
        <c:axId val="53240576"/>
        <c:axId val="53242496"/>
      </c:scatterChart>
      <c:valAx>
        <c:axId val="53240576"/>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da-DK"/>
                  <a:t>Activity</a:t>
                </a:r>
              </a:p>
            </c:rich>
          </c:tx>
          <c:layout>
            <c:manualLayout>
              <c:xMode val="edge"/>
              <c:yMode val="edge"/>
              <c:x val="0.51351386819890754"/>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242496"/>
        <c:crosses val="autoZero"/>
        <c:crossBetween val="midCat"/>
      </c:valAx>
      <c:valAx>
        <c:axId val="53242496"/>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Monthly Electricity Consumption [kWh]</a:t>
                </a:r>
              </a:p>
            </c:rich>
          </c:tx>
          <c:layout>
            <c:manualLayout>
              <c:xMode val="edge"/>
              <c:yMode val="edge"/>
              <c:x val="1.3513513513513514E-2"/>
              <c:y val="0.18117647058823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240576"/>
        <c:crosses val="autoZero"/>
        <c:crossBetween val="midCat"/>
      </c:valAx>
      <c:spPr>
        <a:noFill/>
        <a:ln w="12700">
          <a:solidFill>
            <a:srgbClr val="969696"/>
          </a:solidFill>
          <a:prstDash val="solid"/>
        </a:ln>
      </c:spPr>
    </c:plotArea>
    <c:legend>
      <c:legendPos val="b"/>
      <c:layout>
        <c:manualLayout>
          <c:xMode val="edge"/>
          <c:yMode val="edge"/>
          <c:x val="0.20817500431842959"/>
          <c:y val="0.8809069014678198"/>
          <c:w val="0.66273434919094976"/>
          <c:h val="4.5456050075741584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Regression Analysis - Oil</a:t>
            </a:r>
          </a:p>
        </c:rich>
      </c:tx>
      <c:layout>
        <c:manualLayout>
          <c:xMode val="edge"/>
          <c:yMode val="edge"/>
          <c:x val="0.30574342058594028"/>
          <c:y val="3.0588235294117649E-2"/>
        </c:manualLayout>
      </c:layout>
      <c:overlay val="0"/>
      <c:spPr>
        <a:noFill/>
        <a:ln w="25400">
          <a:noFill/>
        </a:ln>
      </c:spPr>
    </c:title>
    <c:autoTitleDeleted val="0"/>
    <c:plotArea>
      <c:layout>
        <c:manualLayout>
          <c:layoutTarget val="inner"/>
          <c:xMode val="edge"/>
          <c:yMode val="edge"/>
          <c:x val="0.1613808414788537"/>
          <c:y val="0.15048118808819258"/>
          <c:w val="0.73282775556790936"/>
          <c:h val="0.61906817884383025"/>
        </c:manualLayout>
      </c:layout>
      <c:scatterChart>
        <c:scatterStyle val="lineMarker"/>
        <c:varyColors val="0"/>
        <c:ser>
          <c:idx val="0"/>
          <c:order val="0"/>
          <c:tx>
            <c:strRef>
              <c:f>KPI!$M$20</c:f>
              <c:strCache>
                <c:ptCount val="1"/>
                <c:pt idx="0">
                  <c:v>Oil</c:v>
                </c:pt>
              </c:strCache>
            </c:strRef>
          </c:tx>
          <c:spPr>
            <a:ln w="28575">
              <a:noFill/>
            </a:ln>
          </c:spPr>
          <c:marker>
            <c:symbol val="diamond"/>
            <c:size val="5"/>
            <c:spPr>
              <a:solidFill>
                <a:srgbClr val="008080"/>
              </a:solidFill>
              <a:ln>
                <a:solidFill>
                  <a:srgbClr val="008080"/>
                </a:solidFill>
                <a:prstDash val="solid"/>
              </a:ln>
            </c:spPr>
          </c:marker>
          <c:trendline>
            <c:spPr>
              <a:ln w="25400">
                <a:solidFill>
                  <a:srgbClr val="3366FF"/>
                </a:solidFill>
                <a:prstDash val="solid"/>
              </a:ln>
            </c:spPr>
            <c:trendlineType val="linear"/>
            <c:dispRSqr val="1"/>
            <c:dispEq val="1"/>
            <c:trendlineLbl>
              <c:numFmt formatCode="General" sourceLinked="0"/>
              <c:spPr>
                <a:noFill/>
                <a:ln w="25400">
                  <a:noFill/>
                </a:ln>
              </c:spPr>
              <c:txPr>
                <a:bodyPr/>
                <a:lstStyle/>
                <a:p>
                  <a:pPr>
                    <a:defRPr sz="900" b="0" i="0" u="none" strike="noStrike" baseline="0">
                      <a:solidFill>
                        <a:srgbClr val="3366FF"/>
                      </a:solidFill>
                      <a:latin typeface="Arial"/>
                      <a:ea typeface="Arial"/>
                      <a:cs typeface="Arial"/>
                    </a:defRPr>
                  </a:pPr>
                  <a:endParaRPr lang="en-US"/>
                </a:p>
              </c:txPr>
            </c:trendlineLbl>
          </c:trendline>
          <c:xVal>
            <c:numRef>
              <c:f>KPI!$F$22:$F$33</c:f>
              <c:numCache>
                <c:formatCode>#,##0</c:formatCode>
                <c:ptCount val="12"/>
              </c:numCache>
            </c:numRef>
          </c:xVal>
          <c:yVal>
            <c:numRef>
              <c:f>KPI!$M$22:$M$33</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1-87A9-45BE-AF59-60BF1AA7BC36}"/>
            </c:ext>
          </c:extLst>
        </c:ser>
        <c:dLbls>
          <c:showLegendKey val="0"/>
          <c:showVal val="0"/>
          <c:showCatName val="0"/>
          <c:showSerName val="0"/>
          <c:showPercent val="0"/>
          <c:showBubbleSize val="0"/>
        </c:dLbls>
        <c:axId val="53293440"/>
        <c:axId val="53295360"/>
      </c:scatterChart>
      <c:valAx>
        <c:axId val="53293440"/>
        <c:scaling>
          <c:orientation val="minMax"/>
        </c:scaling>
        <c:delete val="0"/>
        <c:axPos val="b"/>
        <c:title>
          <c:tx>
            <c:rich>
              <a:bodyPr/>
              <a:lstStyle/>
              <a:p>
                <a:pPr>
                  <a:defRPr sz="1100" b="1" i="0" u="none" strike="noStrike" baseline="0">
                    <a:solidFill>
                      <a:srgbClr val="000000"/>
                    </a:solidFill>
                    <a:latin typeface="Arial"/>
                    <a:ea typeface="Arial"/>
                    <a:cs typeface="Arial"/>
                  </a:defRPr>
                </a:pPr>
                <a:r>
                  <a:rPr lang="da-DK"/>
                  <a:t>Activity</a:t>
                </a:r>
              </a:p>
            </c:rich>
          </c:tx>
          <c:layout>
            <c:manualLayout>
              <c:xMode val="edge"/>
              <c:yMode val="edge"/>
              <c:x val="0.51351386819890754"/>
              <c:y val="0.8423529411764706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295360"/>
        <c:crosses val="autoZero"/>
        <c:crossBetween val="midCat"/>
      </c:valAx>
      <c:valAx>
        <c:axId val="53295360"/>
        <c:scaling>
          <c:orientation val="minMax"/>
        </c:scaling>
        <c:delete val="0"/>
        <c:axPos val="l"/>
        <c:majorGridlines>
          <c:spPr>
            <a:ln w="3175">
              <a:solidFill>
                <a:srgbClr val="969696"/>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Monthly Electricity Consumption [kWh]</a:t>
                </a:r>
              </a:p>
            </c:rich>
          </c:tx>
          <c:layout>
            <c:manualLayout>
              <c:xMode val="edge"/>
              <c:yMode val="edge"/>
              <c:x val="1.3513513513513514E-2"/>
              <c:y val="0.181176470588235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293440"/>
        <c:crosses val="autoZero"/>
        <c:crossBetween val="midCat"/>
      </c:valAx>
      <c:spPr>
        <a:noFill/>
        <a:ln w="12700">
          <a:solidFill>
            <a:srgbClr val="969696"/>
          </a:solidFill>
          <a:prstDash val="solid"/>
        </a:ln>
      </c:spPr>
    </c:plotArea>
    <c:legend>
      <c:legendPos val="b"/>
      <c:layout>
        <c:manualLayout>
          <c:xMode val="edge"/>
          <c:yMode val="edge"/>
          <c:x val="0.17196319173976213"/>
          <c:y val="0.91431607952319538"/>
          <c:w val="0.66536527265461798"/>
          <c:h val="5.523992980452638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34375"/>
          <c:y val="8.0267558528428096E-2"/>
          <c:w val="0.63671875"/>
          <c:h val="0.79264214046822745"/>
        </c:manualLayout>
      </c:layout>
      <c:lineChart>
        <c:grouping val="standard"/>
        <c:varyColors val="0"/>
        <c:ser>
          <c:idx val="0"/>
          <c:order val="0"/>
          <c:tx>
            <c:strRef>
              <c:f>Annual!$AD$9</c:f>
              <c:strCache>
                <c:ptCount val="1"/>
                <c:pt idx="0">
                  <c:v>Electricity 2017</c:v>
                </c:pt>
              </c:strCache>
            </c:strRef>
          </c:tx>
          <c:spPr>
            <a:ln w="12700">
              <a:solidFill>
                <a:srgbClr val="000080"/>
              </a:solidFill>
              <a:prstDash val="solid"/>
            </a:ln>
          </c:spPr>
          <c:marker>
            <c:symbol val="none"/>
          </c:marker>
          <c:cat>
            <c:strRef>
              <c:f>Annual!$AC$10:$AC$21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Annual!$AD$10:$AD$21</c:f>
              <c:numCache>
                <c:formatCode>#,##0</c:formatCode>
                <c:ptCount val="12"/>
                <c:pt idx="0">
                  <c:v>921954.00000000023</c:v>
                </c:pt>
                <c:pt idx="1">
                  <c:v>926046.00000000012</c:v>
                </c:pt>
                <c:pt idx="2">
                  <c:v>934136</c:v>
                </c:pt>
                <c:pt idx="3">
                  <c:v>1154254</c:v>
                </c:pt>
                <c:pt idx="4">
                  <c:v>1339322.0000000002</c:v>
                </c:pt>
                <c:pt idx="5">
                  <c:v>1579478.9999999998</c:v>
                </c:pt>
                <c:pt idx="6">
                  <c:v>1173908</c:v>
                </c:pt>
                <c:pt idx="7">
                  <c:v>1374111</c:v>
                </c:pt>
                <c:pt idx="8">
                  <c:v>1550682.0000000002</c:v>
                </c:pt>
                <c:pt idx="9">
                  <c:v>1376402</c:v>
                </c:pt>
                <c:pt idx="10">
                  <c:v>1481494.0000000002</c:v>
                </c:pt>
                <c:pt idx="11">
                  <c:v>1329942</c:v>
                </c:pt>
              </c:numCache>
            </c:numRef>
          </c:val>
          <c:smooth val="0"/>
          <c:extLst>
            <c:ext xmlns:c16="http://schemas.microsoft.com/office/drawing/2014/chart" uri="{C3380CC4-5D6E-409C-BE32-E72D297353CC}">
              <c16:uniqueId val="{00000000-D212-4E82-8872-B3BC132DDEF2}"/>
            </c:ext>
          </c:extLst>
        </c:ser>
        <c:ser>
          <c:idx val="1"/>
          <c:order val="1"/>
          <c:tx>
            <c:strRef>
              <c:f>Annual!$AE$9</c:f>
              <c:strCache>
                <c:ptCount val="1"/>
                <c:pt idx="0">
                  <c:v>Electricity 2017</c:v>
                </c:pt>
              </c:strCache>
            </c:strRef>
          </c:tx>
          <c:spPr>
            <a:ln w="12700">
              <a:solidFill>
                <a:srgbClr val="FF00FF"/>
              </a:solidFill>
              <a:prstDash val="solid"/>
            </a:ln>
          </c:spPr>
          <c:marker>
            <c:symbol val="none"/>
          </c:marker>
          <c:cat>
            <c:strRef>
              <c:f>Annual!$AC$10:$AC$21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Annual!$AE$10:$AE$21</c:f>
              <c:numCache>
                <c:formatCode>#,##0</c:formatCode>
                <c:ptCount val="12"/>
                <c:pt idx="0">
                  <c:v>921954.00000000023</c:v>
                </c:pt>
                <c:pt idx="1">
                  <c:v>926046.00000000012</c:v>
                </c:pt>
                <c:pt idx="2">
                  <c:v>934136</c:v>
                </c:pt>
                <c:pt idx="3">
                  <c:v>1154254</c:v>
                </c:pt>
                <c:pt idx="4">
                  <c:v>1339322.0000000002</c:v>
                </c:pt>
                <c:pt idx="5">
                  <c:v>1579478.9999999998</c:v>
                </c:pt>
                <c:pt idx="6">
                  <c:v>1173908</c:v>
                </c:pt>
                <c:pt idx="7">
                  <c:v>1374111</c:v>
                </c:pt>
                <c:pt idx="8">
                  <c:v>1550682.0000000002</c:v>
                </c:pt>
                <c:pt idx="9">
                  <c:v>1376402</c:v>
                </c:pt>
                <c:pt idx="10">
                  <c:v>1481494.0000000002</c:v>
                </c:pt>
                <c:pt idx="11">
                  <c:v>1329942</c:v>
                </c:pt>
              </c:numCache>
            </c:numRef>
          </c:val>
          <c:smooth val="0"/>
          <c:extLst>
            <c:ext xmlns:c16="http://schemas.microsoft.com/office/drawing/2014/chart" uri="{C3380CC4-5D6E-409C-BE32-E72D297353CC}">
              <c16:uniqueId val="{00000001-D212-4E82-8872-B3BC132DDEF2}"/>
            </c:ext>
          </c:extLst>
        </c:ser>
        <c:ser>
          <c:idx val="2"/>
          <c:order val="2"/>
          <c:tx>
            <c:strRef>
              <c:f>Annual!$AF$9</c:f>
              <c:strCache>
                <c:ptCount val="1"/>
                <c:pt idx="0">
                  <c:v>0</c:v>
                </c:pt>
              </c:strCache>
            </c:strRef>
          </c:tx>
          <c:spPr>
            <a:ln w="12700">
              <a:solidFill>
                <a:srgbClr val="FF0000"/>
              </a:solidFill>
              <a:prstDash val="solid"/>
            </a:ln>
          </c:spPr>
          <c:marker>
            <c:symbol val="none"/>
          </c:marker>
          <c:cat>
            <c:strRef>
              <c:f>Annual!$AC$10:$AC$21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Annual!$AF$10:$AF$21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212-4E82-8872-B3BC132DDEF2}"/>
            </c:ext>
          </c:extLst>
        </c:ser>
        <c:ser>
          <c:idx val="3"/>
          <c:order val="3"/>
          <c:tx>
            <c:strRef>
              <c:f>Annual!$AG$9</c:f>
              <c:strCache>
                <c:ptCount val="1"/>
                <c:pt idx="0">
                  <c:v>0</c:v>
                </c:pt>
              </c:strCache>
            </c:strRef>
          </c:tx>
          <c:spPr>
            <a:ln w="12700">
              <a:solidFill>
                <a:srgbClr val="00FFFF"/>
              </a:solidFill>
              <a:prstDash val="solid"/>
            </a:ln>
          </c:spPr>
          <c:marker>
            <c:symbol val="none"/>
          </c:marker>
          <c:cat>
            <c:strRef>
              <c:f>Annual!$AC$10:$AC$21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Annual!$AG$10:$AG$21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D212-4E82-8872-B3BC132DDEF2}"/>
            </c:ext>
          </c:extLst>
        </c:ser>
        <c:ser>
          <c:idx val="4"/>
          <c:order val="4"/>
          <c:tx>
            <c:strRef>
              <c:f>Annual!$AH$9</c:f>
              <c:strCache>
                <c:ptCount val="1"/>
                <c:pt idx="0">
                  <c:v>0</c:v>
                </c:pt>
              </c:strCache>
            </c:strRef>
          </c:tx>
          <c:spPr>
            <a:ln w="12700">
              <a:solidFill>
                <a:srgbClr val="800080"/>
              </a:solidFill>
              <a:prstDash val="solid"/>
            </a:ln>
          </c:spPr>
          <c:marker>
            <c:symbol val="none"/>
          </c:marker>
          <c:cat>
            <c:strRef>
              <c:f>Annual!$AC$10:$AC$21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Annual!$AH$10:$AH$21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D212-4E82-8872-B3BC132DDEF2}"/>
            </c:ext>
          </c:extLst>
        </c:ser>
        <c:dLbls>
          <c:showLegendKey val="0"/>
          <c:showVal val="0"/>
          <c:showCatName val="0"/>
          <c:showSerName val="0"/>
          <c:showPercent val="0"/>
          <c:showBubbleSize val="0"/>
        </c:dLbls>
        <c:smooth val="0"/>
        <c:axId val="50590464"/>
        <c:axId val="50592000"/>
      </c:lineChart>
      <c:catAx>
        <c:axId val="50590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50592000"/>
        <c:crosses val="autoZero"/>
        <c:auto val="1"/>
        <c:lblAlgn val="ctr"/>
        <c:lblOffset val="100"/>
        <c:tickLblSkip val="1"/>
        <c:tickMarkSkip val="1"/>
        <c:noMultiLvlLbl val="0"/>
      </c:catAx>
      <c:valAx>
        <c:axId val="5059200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50590464"/>
        <c:crosses val="autoZero"/>
        <c:crossBetween val="between"/>
      </c:valAx>
      <c:spPr>
        <a:noFill/>
        <a:ln w="12700">
          <a:solidFill>
            <a:srgbClr val="808080"/>
          </a:solidFill>
          <a:prstDash val="solid"/>
        </a:ln>
      </c:spPr>
    </c:plotArea>
    <c:legend>
      <c:legendPos val="r"/>
      <c:layout>
        <c:manualLayout>
          <c:xMode val="edge"/>
          <c:yMode val="edge"/>
          <c:x val="0.77346142995633127"/>
          <c:y val="0.34368058360996662"/>
          <c:w val="0.21094402635172677"/>
          <c:h val="0.26099051838050097"/>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32615083251714"/>
          <c:y val="7.9866888519134774E-2"/>
          <c:w val="0.62291870714985309"/>
          <c:h val="0.7953410981697171"/>
        </c:manualLayout>
      </c:layout>
      <c:lineChart>
        <c:grouping val="standard"/>
        <c:varyColors val="0"/>
        <c:ser>
          <c:idx val="0"/>
          <c:order val="0"/>
          <c:tx>
            <c:strRef>
              <c:f>Annual!$AJ$9</c:f>
              <c:strCache>
                <c:ptCount val="1"/>
                <c:pt idx="0">
                  <c:v>Total Fuel 2017</c:v>
                </c:pt>
              </c:strCache>
            </c:strRef>
          </c:tx>
          <c:spPr>
            <a:ln w="12700">
              <a:solidFill>
                <a:srgbClr val="000080"/>
              </a:solidFill>
              <a:prstDash val="solid"/>
            </a:ln>
          </c:spPr>
          <c:marker>
            <c:symbol val="none"/>
          </c:marker>
          <c:cat>
            <c:strRef>
              <c:f>Annual!$AI$10:$AI$21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Annual!$AJ$10:$AJ$21</c:f>
              <c:numCache>
                <c:formatCode>#,##0</c:formatCode>
                <c:ptCount val="12"/>
                <c:pt idx="0">
                  <c:v>624712.5</c:v>
                </c:pt>
                <c:pt idx="1">
                  <c:v>791088.75</c:v>
                </c:pt>
                <c:pt idx="2">
                  <c:v>905433.75</c:v>
                </c:pt>
                <c:pt idx="3">
                  <c:v>918855</c:v>
                </c:pt>
                <c:pt idx="4">
                  <c:v>1447920</c:v>
                </c:pt>
                <c:pt idx="5">
                  <c:v>1440956.25</c:v>
                </c:pt>
                <c:pt idx="6">
                  <c:v>845336.25</c:v>
                </c:pt>
                <c:pt idx="7">
                  <c:v>847586.25</c:v>
                </c:pt>
                <c:pt idx="8">
                  <c:v>832162.5</c:v>
                </c:pt>
                <c:pt idx="9">
                  <c:v>942648.75</c:v>
                </c:pt>
                <c:pt idx="10">
                  <c:v>1057635</c:v>
                </c:pt>
                <c:pt idx="11">
                  <c:v>1068750</c:v>
                </c:pt>
              </c:numCache>
            </c:numRef>
          </c:val>
          <c:smooth val="0"/>
          <c:extLst>
            <c:ext xmlns:c16="http://schemas.microsoft.com/office/drawing/2014/chart" uri="{C3380CC4-5D6E-409C-BE32-E72D297353CC}">
              <c16:uniqueId val="{00000000-0879-4A55-A42A-8E778FBF208B}"/>
            </c:ext>
          </c:extLst>
        </c:ser>
        <c:ser>
          <c:idx val="1"/>
          <c:order val="1"/>
          <c:tx>
            <c:strRef>
              <c:f>Annual!$AK$9</c:f>
              <c:strCache>
                <c:ptCount val="1"/>
                <c:pt idx="0">
                  <c:v>Total Fuel 2017</c:v>
                </c:pt>
              </c:strCache>
            </c:strRef>
          </c:tx>
          <c:spPr>
            <a:ln w="12700">
              <a:solidFill>
                <a:srgbClr val="FF00FF"/>
              </a:solidFill>
              <a:prstDash val="solid"/>
            </a:ln>
          </c:spPr>
          <c:marker>
            <c:symbol val="none"/>
          </c:marker>
          <c:cat>
            <c:strRef>
              <c:f>Annual!$AI$10:$AI$21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Annual!$AK$10:$AK$21</c:f>
              <c:numCache>
                <c:formatCode>#,##0</c:formatCode>
                <c:ptCount val="12"/>
                <c:pt idx="0">
                  <c:v>624712.5</c:v>
                </c:pt>
                <c:pt idx="1">
                  <c:v>791088.75</c:v>
                </c:pt>
                <c:pt idx="2">
                  <c:v>905433.75</c:v>
                </c:pt>
                <c:pt idx="3">
                  <c:v>918855</c:v>
                </c:pt>
                <c:pt idx="4">
                  <c:v>1447920</c:v>
                </c:pt>
                <c:pt idx="5">
                  <c:v>1440956.25</c:v>
                </c:pt>
                <c:pt idx="6">
                  <c:v>845336.25</c:v>
                </c:pt>
                <c:pt idx="7">
                  <c:v>847586.25</c:v>
                </c:pt>
                <c:pt idx="8">
                  <c:v>832162.5</c:v>
                </c:pt>
                <c:pt idx="9">
                  <c:v>942648.75</c:v>
                </c:pt>
                <c:pt idx="10">
                  <c:v>1057635</c:v>
                </c:pt>
                <c:pt idx="11">
                  <c:v>1068750</c:v>
                </c:pt>
              </c:numCache>
            </c:numRef>
          </c:val>
          <c:smooth val="0"/>
          <c:extLst>
            <c:ext xmlns:c16="http://schemas.microsoft.com/office/drawing/2014/chart" uri="{C3380CC4-5D6E-409C-BE32-E72D297353CC}">
              <c16:uniqueId val="{00000001-0879-4A55-A42A-8E778FBF208B}"/>
            </c:ext>
          </c:extLst>
        </c:ser>
        <c:ser>
          <c:idx val="2"/>
          <c:order val="2"/>
          <c:tx>
            <c:strRef>
              <c:f>Annual!$AL$9</c:f>
              <c:strCache>
                <c:ptCount val="1"/>
                <c:pt idx="0">
                  <c:v>0</c:v>
                </c:pt>
              </c:strCache>
            </c:strRef>
          </c:tx>
          <c:spPr>
            <a:ln w="12700">
              <a:solidFill>
                <a:srgbClr val="FF0000"/>
              </a:solidFill>
              <a:prstDash val="solid"/>
            </a:ln>
          </c:spPr>
          <c:marker>
            <c:symbol val="none"/>
          </c:marker>
          <c:cat>
            <c:strRef>
              <c:f>Annual!$AI$10:$AI$21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Annual!$AL$10:$AL$21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879-4A55-A42A-8E778FBF208B}"/>
            </c:ext>
          </c:extLst>
        </c:ser>
        <c:ser>
          <c:idx val="3"/>
          <c:order val="3"/>
          <c:tx>
            <c:strRef>
              <c:f>Annual!$AM$9</c:f>
              <c:strCache>
                <c:ptCount val="1"/>
                <c:pt idx="0">
                  <c:v>0</c:v>
                </c:pt>
              </c:strCache>
            </c:strRef>
          </c:tx>
          <c:spPr>
            <a:ln w="12700">
              <a:solidFill>
                <a:srgbClr val="00FFFF"/>
              </a:solidFill>
              <a:prstDash val="solid"/>
            </a:ln>
          </c:spPr>
          <c:marker>
            <c:symbol val="none"/>
          </c:marker>
          <c:cat>
            <c:strRef>
              <c:f>Annual!$AI$10:$AI$21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Annual!$AM$10:$AM$21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0879-4A55-A42A-8E778FBF208B}"/>
            </c:ext>
          </c:extLst>
        </c:ser>
        <c:ser>
          <c:idx val="4"/>
          <c:order val="4"/>
          <c:tx>
            <c:strRef>
              <c:f>Annual!$AN$9</c:f>
              <c:strCache>
                <c:ptCount val="1"/>
                <c:pt idx="0">
                  <c:v>0</c:v>
                </c:pt>
              </c:strCache>
            </c:strRef>
          </c:tx>
          <c:spPr>
            <a:ln w="12700">
              <a:solidFill>
                <a:srgbClr val="800080"/>
              </a:solidFill>
              <a:prstDash val="solid"/>
            </a:ln>
          </c:spPr>
          <c:marker>
            <c:symbol val="none"/>
          </c:marker>
          <c:cat>
            <c:strRef>
              <c:f>Annual!$AI$10:$AI$21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Annual!$AN$10:$AN$21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0879-4A55-A42A-8E778FBF208B}"/>
            </c:ext>
          </c:extLst>
        </c:ser>
        <c:dLbls>
          <c:showLegendKey val="0"/>
          <c:showVal val="0"/>
          <c:showCatName val="0"/>
          <c:showSerName val="0"/>
          <c:showPercent val="0"/>
          <c:showBubbleSize val="0"/>
        </c:dLbls>
        <c:smooth val="0"/>
        <c:axId val="53345280"/>
        <c:axId val="50672384"/>
      </c:lineChart>
      <c:catAx>
        <c:axId val="53345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50672384"/>
        <c:crosses val="autoZero"/>
        <c:auto val="1"/>
        <c:lblAlgn val="ctr"/>
        <c:lblOffset val="100"/>
        <c:tickLblSkip val="1"/>
        <c:tickMarkSkip val="1"/>
        <c:noMultiLvlLbl val="0"/>
      </c:catAx>
      <c:valAx>
        <c:axId val="506723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53345280"/>
        <c:crosses val="autoZero"/>
        <c:crossBetween val="between"/>
      </c:valAx>
      <c:spPr>
        <a:noFill/>
        <a:ln w="12700">
          <a:solidFill>
            <a:srgbClr val="808080"/>
          </a:solidFill>
          <a:prstDash val="solid"/>
        </a:ln>
      </c:spPr>
    </c:plotArea>
    <c:legend>
      <c:legendPos val="r"/>
      <c:layout>
        <c:manualLayout>
          <c:xMode val="edge"/>
          <c:yMode val="edge"/>
          <c:x val="0.76997658623661958"/>
          <c:y val="0.3436016768922146"/>
          <c:w val="0.21440404941954649"/>
          <c:h val="0.25898335347846024"/>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14184391709592"/>
          <c:y val="8.0000260417514374E-2"/>
          <c:w val="0.55511864380713638"/>
          <c:h val="0.76000247396638665"/>
        </c:manualLayout>
      </c:layout>
      <c:lineChart>
        <c:grouping val="standard"/>
        <c:varyColors val="0"/>
        <c:ser>
          <c:idx val="0"/>
          <c:order val="0"/>
          <c:tx>
            <c:strRef>
              <c:f>Annual!$AP$9</c:f>
              <c:strCache>
                <c:ptCount val="1"/>
                <c:pt idx="0">
                  <c:v>Total Energy Cost 2017</c:v>
                </c:pt>
              </c:strCache>
            </c:strRef>
          </c:tx>
          <c:spPr>
            <a:ln w="12700">
              <a:solidFill>
                <a:srgbClr val="000080"/>
              </a:solidFill>
              <a:prstDash val="solid"/>
            </a:ln>
          </c:spPr>
          <c:marker>
            <c:symbol val="none"/>
          </c:marker>
          <c:cat>
            <c:strRef>
              <c:f>Annual!$AO$10:$AO$21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Annual!$AP$10:$AP$21</c:f>
              <c:numCache>
                <c:formatCode>#,##0</c:formatCode>
                <c:ptCount val="12"/>
                <c:pt idx="0">
                  <c:v>43811.411502481795</c:v>
                </c:pt>
                <c:pt idx="1">
                  <c:v>44676.263026388122</c:v>
                </c:pt>
                <c:pt idx="2">
                  <c:v>44623.623131756831</c:v>
                </c:pt>
                <c:pt idx="3">
                  <c:v>53047.895891726635</c:v>
                </c:pt>
                <c:pt idx="4">
                  <c:v>67116.681745508948</c:v>
                </c:pt>
                <c:pt idx="5">
                  <c:v>78356.586160690596</c:v>
                </c:pt>
                <c:pt idx="6">
                  <c:v>71934.158440399173</c:v>
                </c:pt>
                <c:pt idx="7">
                  <c:v>83769.894086790897</c:v>
                </c:pt>
                <c:pt idx="8">
                  <c:v>93288.258728154775</c:v>
                </c:pt>
                <c:pt idx="9">
                  <c:v>82958.104135263289</c:v>
                </c:pt>
                <c:pt idx="10">
                  <c:v>98736.566315229778</c:v>
                </c:pt>
                <c:pt idx="11">
                  <c:v>92790.651319628727</c:v>
                </c:pt>
              </c:numCache>
            </c:numRef>
          </c:val>
          <c:smooth val="0"/>
          <c:extLst>
            <c:ext xmlns:c16="http://schemas.microsoft.com/office/drawing/2014/chart" uri="{C3380CC4-5D6E-409C-BE32-E72D297353CC}">
              <c16:uniqueId val="{00000000-763B-40E2-A003-4DFC650861BC}"/>
            </c:ext>
          </c:extLst>
        </c:ser>
        <c:ser>
          <c:idx val="1"/>
          <c:order val="1"/>
          <c:tx>
            <c:strRef>
              <c:f>Annual!$AQ$9</c:f>
              <c:strCache>
                <c:ptCount val="1"/>
                <c:pt idx="0">
                  <c:v>Total Energy Cost 2017</c:v>
                </c:pt>
              </c:strCache>
            </c:strRef>
          </c:tx>
          <c:spPr>
            <a:ln w="12700">
              <a:solidFill>
                <a:srgbClr val="FF00FF"/>
              </a:solidFill>
              <a:prstDash val="solid"/>
            </a:ln>
          </c:spPr>
          <c:marker>
            <c:symbol val="none"/>
          </c:marker>
          <c:cat>
            <c:strRef>
              <c:f>Annual!$AO$10:$AO$21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Annual!$AQ$10:$AQ$21</c:f>
              <c:numCache>
                <c:formatCode>#,##0</c:formatCode>
                <c:ptCount val="12"/>
                <c:pt idx="0">
                  <c:v>44811.411502481795</c:v>
                </c:pt>
                <c:pt idx="1">
                  <c:v>45676.263026388122</c:v>
                </c:pt>
                <c:pt idx="2">
                  <c:v>45623.623131756831</c:v>
                </c:pt>
                <c:pt idx="3">
                  <c:v>54047.895891726635</c:v>
                </c:pt>
                <c:pt idx="4">
                  <c:v>68116.681745508948</c:v>
                </c:pt>
                <c:pt idx="5">
                  <c:v>79356.586160690596</c:v>
                </c:pt>
                <c:pt idx="6">
                  <c:v>72934.158440399173</c:v>
                </c:pt>
                <c:pt idx="7">
                  <c:v>84769.894086790897</c:v>
                </c:pt>
                <c:pt idx="8">
                  <c:v>94288.258728154775</c:v>
                </c:pt>
                <c:pt idx="9">
                  <c:v>83958.104135263289</c:v>
                </c:pt>
                <c:pt idx="10">
                  <c:v>99736.566315229778</c:v>
                </c:pt>
                <c:pt idx="11">
                  <c:v>93790.651319628727</c:v>
                </c:pt>
              </c:numCache>
            </c:numRef>
          </c:val>
          <c:smooth val="0"/>
          <c:extLst>
            <c:ext xmlns:c16="http://schemas.microsoft.com/office/drawing/2014/chart" uri="{C3380CC4-5D6E-409C-BE32-E72D297353CC}">
              <c16:uniqueId val="{00000001-763B-40E2-A003-4DFC650861BC}"/>
            </c:ext>
          </c:extLst>
        </c:ser>
        <c:ser>
          <c:idx val="2"/>
          <c:order val="2"/>
          <c:tx>
            <c:strRef>
              <c:f>Annual!$AR$9</c:f>
              <c:strCache>
                <c:ptCount val="1"/>
                <c:pt idx="0">
                  <c:v>0</c:v>
                </c:pt>
              </c:strCache>
            </c:strRef>
          </c:tx>
          <c:spPr>
            <a:ln w="12700">
              <a:solidFill>
                <a:srgbClr val="FF0000"/>
              </a:solidFill>
              <a:prstDash val="solid"/>
            </a:ln>
          </c:spPr>
          <c:marker>
            <c:symbol val="none"/>
          </c:marker>
          <c:cat>
            <c:strRef>
              <c:f>Annual!$AO$10:$AO$21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Annual!$AR$10:$AR$21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63B-40E2-A003-4DFC650861BC}"/>
            </c:ext>
          </c:extLst>
        </c:ser>
        <c:ser>
          <c:idx val="3"/>
          <c:order val="3"/>
          <c:tx>
            <c:strRef>
              <c:f>Annual!$AS$9</c:f>
              <c:strCache>
                <c:ptCount val="1"/>
                <c:pt idx="0">
                  <c:v>0</c:v>
                </c:pt>
              </c:strCache>
            </c:strRef>
          </c:tx>
          <c:spPr>
            <a:ln w="12700">
              <a:solidFill>
                <a:srgbClr val="00FFFF"/>
              </a:solidFill>
              <a:prstDash val="solid"/>
            </a:ln>
          </c:spPr>
          <c:marker>
            <c:symbol val="none"/>
          </c:marker>
          <c:cat>
            <c:strRef>
              <c:f>Annual!$AO$10:$AO$21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Annual!$AS$10:$AS$21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763B-40E2-A003-4DFC650861BC}"/>
            </c:ext>
          </c:extLst>
        </c:ser>
        <c:ser>
          <c:idx val="4"/>
          <c:order val="4"/>
          <c:tx>
            <c:strRef>
              <c:f>Annual!$AT$9</c:f>
              <c:strCache>
                <c:ptCount val="1"/>
                <c:pt idx="0">
                  <c:v>0</c:v>
                </c:pt>
              </c:strCache>
            </c:strRef>
          </c:tx>
          <c:spPr>
            <a:ln w="12700">
              <a:solidFill>
                <a:srgbClr val="800080"/>
              </a:solidFill>
              <a:prstDash val="solid"/>
            </a:ln>
          </c:spPr>
          <c:marker>
            <c:symbol val="none"/>
          </c:marker>
          <c:cat>
            <c:strRef>
              <c:f>Annual!$AO$10:$AO$21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Annual!$AT$10:$AT$21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763B-40E2-A003-4DFC650861BC}"/>
            </c:ext>
          </c:extLst>
        </c:ser>
        <c:dLbls>
          <c:showLegendKey val="0"/>
          <c:showVal val="0"/>
          <c:showCatName val="0"/>
          <c:showSerName val="0"/>
          <c:showPercent val="0"/>
          <c:showBubbleSize val="0"/>
        </c:dLbls>
        <c:smooth val="0"/>
        <c:axId val="50714112"/>
        <c:axId val="50715648"/>
      </c:lineChart>
      <c:catAx>
        <c:axId val="50714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25" b="0" i="0" u="none" strike="noStrike" baseline="0">
                <a:solidFill>
                  <a:srgbClr val="000000"/>
                </a:solidFill>
                <a:latin typeface="Tahoma"/>
                <a:ea typeface="Tahoma"/>
                <a:cs typeface="Tahoma"/>
              </a:defRPr>
            </a:pPr>
            <a:endParaRPr lang="en-US"/>
          </a:p>
        </c:txPr>
        <c:crossAx val="50715648"/>
        <c:crosses val="autoZero"/>
        <c:auto val="1"/>
        <c:lblAlgn val="ctr"/>
        <c:lblOffset val="100"/>
        <c:tickLblSkip val="1"/>
        <c:tickMarkSkip val="1"/>
        <c:noMultiLvlLbl val="0"/>
      </c:catAx>
      <c:valAx>
        <c:axId val="5071564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50714112"/>
        <c:crosses val="autoZero"/>
        <c:crossBetween val="between"/>
      </c:valAx>
      <c:spPr>
        <a:noFill/>
        <a:ln w="12700">
          <a:solidFill>
            <a:srgbClr val="808080"/>
          </a:solidFill>
          <a:prstDash val="solid"/>
        </a:ln>
      </c:spPr>
    </c:plotArea>
    <c:legend>
      <c:legendPos val="r"/>
      <c:layout>
        <c:manualLayout>
          <c:xMode val="edge"/>
          <c:yMode val="edge"/>
          <c:x val="0.69136072242050561"/>
          <c:y val="0.32990798719823256"/>
          <c:w val="0.29134791263734294"/>
          <c:h val="0.26031802114860536"/>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68649602959565"/>
          <c:y val="8.0537044713855255E-2"/>
          <c:w val="0.63137375799203044"/>
          <c:h val="0.79194760635290995"/>
        </c:manualLayout>
      </c:layout>
      <c:lineChart>
        <c:grouping val="standard"/>
        <c:varyColors val="0"/>
        <c:ser>
          <c:idx val="0"/>
          <c:order val="0"/>
          <c:tx>
            <c:strRef>
              <c:f>Annual!$AV$9</c:f>
              <c:strCache>
                <c:ptCount val="1"/>
                <c:pt idx="0">
                  <c:v>Total CO2 2017</c:v>
                </c:pt>
              </c:strCache>
            </c:strRef>
          </c:tx>
          <c:spPr>
            <a:ln w="12700">
              <a:solidFill>
                <a:srgbClr val="000080"/>
              </a:solidFill>
              <a:prstDash val="solid"/>
            </a:ln>
          </c:spPr>
          <c:marker>
            <c:symbol val="none"/>
          </c:marker>
          <c:cat>
            <c:strRef>
              <c:f>Annual!$AU$10:$AU$21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Annual!$AV$10:$AV$21</c:f>
              <c:numCache>
                <c:formatCode>#,##0</c:formatCode>
                <c:ptCount val="12"/>
                <c:pt idx="0">
                  <c:v>568.69476395248387</c:v>
                </c:pt>
                <c:pt idx="1">
                  <c:v>604.25758350971932</c:v>
                </c:pt>
                <c:pt idx="2">
                  <c:v>631.23205240820744</c:v>
                </c:pt>
                <c:pt idx="3">
                  <c:v>739.59903123110155</c:v>
                </c:pt>
                <c:pt idx="4">
                  <c:v>935.27309131749462</c:v>
                </c:pt>
                <c:pt idx="5">
                  <c:v>1049.1421648704104</c:v>
                </c:pt>
                <c:pt idx="6">
                  <c:v>734.18629221382298</c:v>
                </c:pt>
                <c:pt idx="7">
                  <c:v>830.73810586393097</c:v>
                </c:pt>
                <c:pt idx="8">
                  <c:v>912.37745449244073</c:v>
                </c:pt>
                <c:pt idx="9">
                  <c:v>851.03507258099353</c:v>
                </c:pt>
                <c:pt idx="10">
                  <c:v>924.69999796976253</c:v>
                </c:pt>
                <c:pt idx="11">
                  <c:v>854.19964380129591</c:v>
                </c:pt>
              </c:numCache>
            </c:numRef>
          </c:val>
          <c:smooth val="0"/>
          <c:extLst>
            <c:ext xmlns:c16="http://schemas.microsoft.com/office/drawing/2014/chart" uri="{C3380CC4-5D6E-409C-BE32-E72D297353CC}">
              <c16:uniqueId val="{00000000-522E-46F0-ABD2-31CAC46EC272}"/>
            </c:ext>
          </c:extLst>
        </c:ser>
        <c:ser>
          <c:idx val="1"/>
          <c:order val="1"/>
          <c:tx>
            <c:strRef>
              <c:f>Annual!$AW$9</c:f>
              <c:strCache>
                <c:ptCount val="1"/>
                <c:pt idx="0">
                  <c:v>Total CO2 2017</c:v>
                </c:pt>
              </c:strCache>
            </c:strRef>
          </c:tx>
          <c:spPr>
            <a:ln w="12700">
              <a:solidFill>
                <a:srgbClr val="FF00FF"/>
              </a:solidFill>
              <a:prstDash val="solid"/>
            </a:ln>
          </c:spPr>
          <c:marker>
            <c:symbol val="none"/>
          </c:marker>
          <c:cat>
            <c:strRef>
              <c:f>Annual!$AU$10:$AU$21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Annual!$AW$10:$AW$21</c:f>
              <c:numCache>
                <c:formatCode>#,##0</c:formatCode>
                <c:ptCount val="12"/>
                <c:pt idx="0">
                  <c:v>568.69476395248387</c:v>
                </c:pt>
                <c:pt idx="1">
                  <c:v>604.25758350971932</c:v>
                </c:pt>
                <c:pt idx="2">
                  <c:v>631.23205240820744</c:v>
                </c:pt>
                <c:pt idx="3">
                  <c:v>739.59903123110155</c:v>
                </c:pt>
                <c:pt idx="4">
                  <c:v>935.27309131749462</c:v>
                </c:pt>
                <c:pt idx="5">
                  <c:v>1049.1421648704104</c:v>
                </c:pt>
                <c:pt idx="6">
                  <c:v>734.18629221382298</c:v>
                </c:pt>
                <c:pt idx="7">
                  <c:v>830.73810586393097</c:v>
                </c:pt>
                <c:pt idx="8">
                  <c:v>912.37745449244073</c:v>
                </c:pt>
                <c:pt idx="9">
                  <c:v>851.03507258099353</c:v>
                </c:pt>
                <c:pt idx="10">
                  <c:v>924.69999796976253</c:v>
                </c:pt>
                <c:pt idx="11">
                  <c:v>854.19964380129591</c:v>
                </c:pt>
              </c:numCache>
            </c:numRef>
          </c:val>
          <c:smooth val="0"/>
          <c:extLst>
            <c:ext xmlns:c16="http://schemas.microsoft.com/office/drawing/2014/chart" uri="{C3380CC4-5D6E-409C-BE32-E72D297353CC}">
              <c16:uniqueId val="{00000001-522E-46F0-ABD2-31CAC46EC272}"/>
            </c:ext>
          </c:extLst>
        </c:ser>
        <c:ser>
          <c:idx val="2"/>
          <c:order val="2"/>
          <c:tx>
            <c:strRef>
              <c:f>Annual!$AX$9</c:f>
              <c:strCache>
                <c:ptCount val="1"/>
                <c:pt idx="0">
                  <c:v>0</c:v>
                </c:pt>
              </c:strCache>
            </c:strRef>
          </c:tx>
          <c:spPr>
            <a:ln w="12700">
              <a:solidFill>
                <a:srgbClr val="FF0000"/>
              </a:solidFill>
              <a:prstDash val="solid"/>
            </a:ln>
          </c:spPr>
          <c:marker>
            <c:symbol val="none"/>
          </c:marker>
          <c:cat>
            <c:strRef>
              <c:f>Annual!$AU$10:$AU$21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Annual!$AX$10:$AX$21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22E-46F0-ABD2-31CAC46EC272}"/>
            </c:ext>
          </c:extLst>
        </c:ser>
        <c:ser>
          <c:idx val="3"/>
          <c:order val="3"/>
          <c:tx>
            <c:strRef>
              <c:f>Annual!$AY$9</c:f>
              <c:strCache>
                <c:ptCount val="1"/>
                <c:pt idx="0">
                  <c:v>0</c:v>
                </c:pt>
              </c:strCache>
            </c:strRef>
          </c:tx>
          <c:spPr>
            <a:ln w="12700">
              <a:solidFill>
                <a:srgbClr val="00FFFF"/>
              </a:solidFill>
              <a:prstDash val="solid"/>
            </a:ln>
          </c:spPr>
          <c:marker>
            <c:symbol val="none"/>
          </c:marker>
          <c:cat>
            <c:strRef>
              <c:f>Annual!$AU$10:$AU$21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Annual!$AY$10:$AY$21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522E-46F0-ABD2-31CAC46EC272}"/>
            </c:ext>
          </c:extLst>
        </c:ser>
        <c:ser>
          <c:idx val="4"/>
          <c:order val="4"/>
          <c:tx>
            <c:strRef>
              <c:f>Annual!$AZ$9</c:f>
              <c:strCache>
                <c:ptCount val="1"/>
                <c:pt idx="0">
                  <c:v>0</c:v>
                </c:pt>
              </c:strCache>
            </c:strRef>
          </c:tx>
          <c:spPr>
            <a:ln w="12700">
              <a:solidFill>
                <a:srgbClr val="800080"/>
              </a:solidFill>
              <a:prstDash val="solid"/>
            </a:ln>
          </c:spPr>
          <c:marker>
            <c:symbol val="none"/>
          </c:marker>
          <c:cat>
            <c:strRef>
              <c:f>Annual!$AU$10:$AU$21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Annual!$AZ$10:$AZ$21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522E-46F0-ABD2-31CAC46EC272}"/>
            </c:ext>
          </c:extLst>
        </c:ser>
        <c:dLbls>
          <c:showLegendKey val="0"/>
          <c:showVal val="0"/>
          <c:showCatName val="0"/>
          <c:showSerName val="0"/>
          <c:showPercent val="0"/>
          <c:showBubbleSize val="0"/>
        </c:dLbls>
        <c:smooth val="0"/>
        <c:axId val="50774016"/>
        <c:axId val="50775552"/>
      </c:lineChart>
      <c:catAx>
        <c:axId val="50774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50775552"/>
        <c:crosses val="autoZero"/>
        <c:auto val="1"/>
        <c:lblAlgn val="ctr"/>
        <c:lblOffset val="100"/>
        <c:tickLblSkip val="1"/>
        <c:tickMarkSkip val="1"/>
        <c:noMultiLvlLbl val="0"/>
      </c:catAx>
      <c:valAx>
        <c:axId val="5077555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50774016"/>
        <c:crosses val="autoZero"/>
        <c:crossBetween val="between"/>
      </c:valAx>
      <c:spPr>
        <a:noFill/>
        <a:ln w="12700">
          <a:solidFill>
            <a:srgbClr val="808080"/>
          </a:solidFill>
          <a:prstDash val="solid"/>
        </a:ln>
      </c:spPr>
    </c:plotArea>
    <c:legend>
      <c:legendPos val="r"/>
      <c:layout>
        <c:manualLayout>
          <c:xMode val="edge"/>
          <c:yMode val="edge"/>
          <c:x val="0.7680505012797717"/>
          <c:y val="0.34457075930895054"/>
          <c:w val="0.2163081003604255"/>
          <c:h val="0.26166651646769928"/>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313886936823942E-2"/>
          <c:y val="8.2474503579063232E-2"/>
          <c:w val="0.62745218185543405"/>
          <c:h val="0.78694422165022837"/>
        </c:manualLayout>
      </c:layout>
      <c:lineChart>
        <c:grouping val="standard"/>
        <c:varyColors val="0"/>
        <c:ser>
          <c:idx val="0"/>
          <c:order val="0"/>
          <c:tx>
            <c:strRef>
              <c:f>Annual!$BB$9</c:f>
              <c:strCache>
                <c:ptCount val="1"/>
                <c:pt idx="0">
                  <c:v>KPI Combined 2017</c:v>
                </c:pt>
              </c:strCache>
            </c:strRef>
          </c:tx>
          <c:spPr>
            <a:ln w="12700">
              <a:solidFill>
                <a:srgbClr val="000080"/>
              </a:solidFill>
              <a:prstDash val="solid"/>
            </a:ln>
          </c:spPr>
          <c:marker>
            <c:symbol val="none"/>
          </c:marker>
          <c:cat>
            <c:strRef>
              <c:f>Annual!$BA$10:$BA$21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Annual!$BB$10:$BB$21</c:f>
              <c:numCache>
                <c:formatCode>#,##0</c:formatCode>
                <c:ptCount val="12"/>
                <c:pt idx="0">
                  <c:v>294.95139899659051</c:v>
                </c:pt>
                <c:pt idx="1">
                  <c:v>440.78819322494201</c:v>
                </c:pt>
                <c:pt idx="2">
                  <c:v>231.58893114612894</c:v>
                </c:pt>
                <c:pt idx="3">
                  <c:v>236.60142158090324</c:v>
                </c:pt>
                <c:pt idx="4">
                  <c:v>272.84583030854509</c:v>
                </c:pt>
                <c:pt idx="5">
                  <c:v>222.32517837819245</c:v>
                </c:pt>
                <c:pt idx="6">
                  <c:v>191.63388396384531</c:v>
                </c:pt>
                <c:pt idx="7">
                  <c:v>176.59697764824185</c:v>
                </c:pt>
                <c:pt idx="8">
                  <c:v>202.41038334662213</c:v>
                </c:pt>
                <c:pt idx="9">
                  <c:v>171.58617664236434</c:v>
                </c:pt>
                <c:pt idx="10">
                  <c:v>197.20684329055743</c:v>
                </c:pt>
                <c:pt idx="11">
                  <c:v>165.81876731170564</c:v>
                </c:pt>
              </c:numCache>
            </c:numRef>
          </c:val>
          <c:smooth val="0"/>
          <c:extLst>
            <c:ext xmlns:c16="http://schemas.microsoft.com/office/drawing/2014/chart" uri="{C3380CC4-5D6E-409C-BE32-E72D297353CC}">
              <c16:uniqueId val="{00000000-8107-4C28-A7C3-9BB3A0BDE660}"/>
            </c:ext>
          </c:extLst>
        </c:ser>
        <c:ser>
          <c:idx val="1"/>
          <c:order val="1"/>
          <c:tx>
            <c:strRef>
              <c:f>Annual!$BC$9</c:f>
              <c:strCache>
                <c:ptCount val="1"/>
                <c:pt idx="0">
                  <c:v>KPI Combined 2017</c:v>
                </c:pt>
              </c:strCache>
            </c:strRef>
          </c:tx>
          <c:spPr>
            <a:ln w="12700">
              <a:solidFill>
                <a:srgbClr val="FF00FF"/>
              </a:solidFill>
              <a:prstDash val="solid"/>
            </a:ln>
          </c:spPr>
          <c:marker>
            <c:symbol val="none"/>
          </c:marker>
          <c:cat>
            <c:strRef>
              <c:f>Annual!$BA$10:$BA$21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Annual!$BC$10:$BC$21</c:f>
              <c:numCache>
                <c:formatCode>#,##0</c:formatCode>
                <c:ptCount val="12"/>
                <c:pt idx="0">
                  <c:v>294.95139899659051</c:v>
                </c:pt>
                <c:pt idx="1">
                  <c:v>440.78819322494201</c:v>
                </c:pt>
                <c:pt idx="2">
                  <c:v>231.58893114612894</c:v>
                </c:pt>
                <c:pt idx="3">
                  <c:v>236.60142158090324</c:v>
                </c:pt>
                <c:pt idx="4">
                  <c:v>272.84583030854509</c:v>
                </c:pt>
                <c:pt idx="5">
                  <c:v>222.32517837819245</c:v>
                </c:pt>
                <c:pt idx="6">
                  <c:v>191.63388396384531</c:v>
                </c:pt>
                <c:pt idx="7">
                  <c:v>176.59697764824185</c:v>
                </c:pt>
                <c:pt idx="8">
                  <c:v>202.41038334662213</c:v>
                </c:pt>
                <c:pt idx="9">
                  <c:v>171.58617664236434</c:v>
                </c:pt>
                <c:pt idx="10">
                  <c:v>197.20684329055743</c:v>
                </c:pt>
                <c:pt idx="11">
                  <c:v>165.81876731170564</c:v>
                </c:pt>
              </c:numCache>
            </c:numRef>
          </c:val>
          <c:smooth val="0"/>
          <c:extLst>
            <c:ext xmlns:c16="http://schemas.microsoft.com/office/drawing/2014/chart" uri="{C3380CC4-5D6E-409C-BE32-E72D297353CC}">
              <c16:uniqueId val="{00000001-8107-4C28-A7C3-9BB3A0BDE660}"/>
            </c:ext>
          </c:extLst>
        </c:ser>
        <c:ser>
          <c:idx val="2"/>
          <c:order val="2"/>
          <c:tx>
            <c:strRef>
              <c:f>Annual!$BD$9</c:f>
              <c:strCache>
                <c:ptCount val="1"/>
                <c:pt idx="0">
                  <c:v>0</c:v>
                </c:pt>
              </c:strCache>
            </c:strRef>
          </c:tx>
          <c:spPr>
            <a:ln w="12700">
              <a:solidFill>
                <a:srgbClr val="FF0000"/>
              </a:solidFill>
              <a:prstDash val="solid"/>
            </a:ln>
          </c:spPr>
          <c:marker>
            <c:symbol val="none"/>
          </c:marker>
          <c:cat>
            <c:strRef>
              <c:f>Annual!$BA$10:$BA$21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Annual!$BD$10:$BD$21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107-4C28-A7C3-9BB3A0BDE660}"/>
            </c:ext>
          </c:extLst>
        </c:ser>
        <c:ser>
          <c:idx val="3"/>
          <c:order val="3"/>
          <c:tx>
            <c:strRef>
              <c:f>Annual!$BE$9</c:f>
              <c:strCache>
                <c:ptCount val="1"/>
                <c:pt idx="0">
                  <c:v>0</c:v>
                </c:pt>
              </c:strCache>
            </c:strRef>
          </c:tx>
          <c:spPr>
            <a:ln w="12700">
              <a:solidFill>
                <a:srgbClr val="00FFFF"/>
              </a:solidFill>
              <a:prstDash val="solid"/>
            </a:ln>
          </c:spPr>
          <c:marker>
            <c:symbol val="none"/>
          </c:marker>
          <c:cat>
            <c:strRef>
              <c:f>Annual!$BA$10:$BA$21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Annual!$BE$10:$BE$21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8107-4C28-A7C3-9BB3A0BDE660}"/>
            </c:ext>
          </c:extLst>
        </c:ser>
        <c:ser>
          <c:idx val="4"/>
          <c:order val="4"/>
          <c:tx>
            <c:strRef>
              <c:f>Annual!$BF$9</c:f>
              <c:strCache>
                <c:ptCount val="1"/>
                <c:pt idx="0">
                  <c:v>0</c:v>
                </c:pt>
              </c:strCache>
            </c:strRef>
          </c:tx>
          <c:spPr>
            <a:ln w="12700">
              <a:solidFill>
                <a:srgbClr val="800080"/>
              </a:solidFill>
              <a:prstDash val="solid"/>
            </a:ln>
          </c:spPr>
          <c:marker>
            <c:symbol val="none"/>
          </c:marker>
          <c:cat>
            <c:strRef>
              <c:f>Annual!$BA$10:$BA$21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Annual!$BF$10:$BF$21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8107-4C28-A7C3-9BB3A0BDE660}"/>
            </c:ext>
          </c:extLst>
        </c:ser>
        <c:dLbls>
          <c:showLegendKey val="0"/>
          <c:showVal val="0"/>
          <c:showCatName val="0"/>
          <c:showSerName val="0"/>
          <c:showPercent val="0"/>
          <c:showBubbleSize val="0"/>
        </c:dLbls>
        <c:smooth val="0"/>
        <c:axId val="53639424"/>
        <c:axId val="53657600"/>
      </c:lineChart>
      <c:catAx>
        <c:axId val="53639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53657600"/>
        <c:crosses val="autoZero"/>
        <c:auto val="1"/>
        <c:lblAlgn val="ctr"/>
        <c:lblOffset val="100"/>
        <c:tickLblSkip val="1"/>
        <c:tickMarkSkip val="1"/>
        <c:noMultiLvlLbl val="0"/>
      </c:catAx>
      <c:valAx>
        <c:axId val="5365760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Tahoma"/>
                <a:ea typeface="Tahoma"/>
                <a:cs typeface="Tahoma"/>
              </a:defRPr>
            </a:pPr>
            <a:endParaRPr lang="en-US"/>
          </a:p>
        </c:txPr>
        <c:crossAx val="53639424"/>
        <c:crosses val="autoZero"/>
        <c:crossBetween val="between"/>
      </c:valAx>
      <c:spPr>
        <a:noFill/>
        <a:ln w="12700">
          <a:solidFill>
            <a:srgbClr val="808080"/>
          </a:solidFill>
          <a:prstDash val="solid"/>
        </a:ln>
      </c:spPr>
    </c:plotArea>
    <c:legend>
      <c:legendPos val="r"/>
      <c:layout>
        <c:manualLayout>
          <c:xMode val="edge"/>
          <c:yMode val="edge"/>
          <c:x val="0.73157810419701752"/>
          <c:y val="0.33953335249085126"/>
          <c:w val="0.25118561517494159"/>
          <c:h val="0.26791303594981236"/>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Tahoma"/>
              <a:ea typeface="Tahoma"/>
              <a:cs typeface="Tahom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Details!$J$2</c:f>
          <c:strCache>
            <c:ptCount val="1"/>
            <c:pt idx="0">
              <c:v>process 1 Energy and Power Consumption</c:v>
            </c:pt>
          </c:strCache>
        </c:strRef>
      </c:tx>
      <c:layout>
        <c:manualLayout>
          <c:xMode val="edge"/>
          <c:yMode val="edge"/>
          <c:x val="0.30547903265535697"/>
          <c:y val="4.1348978068197054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0113832837913847"/>
          <c:y val="0.1546758068477001"/>
          <c:w val="0.80910662703310776"/>
          <c:h val="0.52834805309362909"/>
        </c:manualLayout>
      </c:layout>
      <c:scatterChart>
        <c:scatterStyle val="smoothMarker"/>
        <c:varyColors val="0"/>
        <c:ser>
          <c:idx val="2"/>
          <c:order val="0"/>
          <c:tx>
            <c:strRef>
              <c:f>Details!$F$7</c:f>
              <c:strCache>
                <c:ptCount val="1"/>
              </c:strCache>
            </c:strRef>
          </c:tx>
          <c:spPr>
            <a:ln w="12700">
              <a:solidFill>
                <a:srgbClr val="008080"/>
              </a:solidFill>
              <a:prstDash val="solid"/>
            </a:ln>
          </c:spPr>
          <c:marker>
            <c:symbol val="none"/>
          </c:marker>
          <c:xVal>
            <c:numRef>
              <c:f>Details!$B$11:$B$78</c:f>
              <c:numCache>
                <c:formatCode>dd/mm/yy\ hh:mm;@</c:formatCode>
                <c:ptCount val="68"/>
              </c:numCache>
            </c:numRef>
          </c:xVal>
          <c:yVal>
            <c:numRef>
              <c:f>Details!$F$11:$F$78</c:f>
              <c:numCache>
                <c:formatCode>#,##0</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0-C3C0-4449-A413-165A96F2A9AF}"/>
            </c:ext>
          </c:extLst>
        </c:ser>
        <c:ser>
          <c:idx val="0"/>
          <c:order val="1"/>
          <c:tx>
            <c:strRef>
              <c:f>Details!$H$7</c:f>
              <c:strCache>
                <c:ptCount val="1"/>
              </c:strCache>
            </c:strRef>
          </c:tx>
          <c:spPr>
            <a:ln w="12700">
              <a:solidFill>
                <a:srgbClr val="993366"/>
              </a:solidFill>
              <a:prstDash val="solid"/>
            </a:ln>
          </c:spPr>
          <c:marker>
            <c:symbol val="none"/>
          </c:marker>
          <c:xVal>
            <c:numRef>
              <c:f>Details!$B$11:$B$78</c:f>
              <c:numCache>
                <c:formatCode>dd/mm/yy\ hh:mm;@</c:formatCode>
                <c:ptCount val="68"/>
              </c:numCache>
            </c:numRef>
          </c:xVal>
          <c:yVal>
            <c:numRef>
              <c:f>Details!$H$11:$H$78</c:f>
              <c:numCache>
                <c:formatCode>#,##0</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1-C3C0-4449-A413-165A96F2A9AF}"/>
            </c:ext>
          </c:extLst>
        </c:ser>
        <c:ser>
          <c:idx val="4"/>
          <c:order val="2"/>
          <c:tx>
            <c:strRef>
              <c:f>Details!$C$8</c:f>
              <c:strCache>
                <c:ptCount val="1"/>
                <c:pt idx="0">
                  <c:v>Total Energy</c:v>
                </c:pt>
              </c:strCache>
            </c:strRef>
          </c:tx>
          <c:spPr>
            <a:ln w="12700">
              <a:solidFill>
                <a:srgbClr val="FF0000"/>
              </a:solidFill>
              <a:prstDash val="solid"/>
            </a:ln>
          </c:spPr>
          <c:marker>
            <c:symbol val="none"/>
          </c:marker>
          <c:xVal>
            <c:numRef>
              <c:f>Details!$B$11:$B$78</c:f>
              <c:numCache>
                <c:formatCode>dd/mm/yy\ hh:mm;@</c:formatCode>
                <c:ptCount val="68"/>
              </c:numCache>
            </c:numRef>
          </c:xVal>
          <c:yVal>
            <c:numRef>
              <c:f>Details!$C$11:$C$78</c:f>
              <c:numCache>
                <c:formatCode>#,##0</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2-C3C0-4449-A413-165A96F2A9AF}"/>
            </c:ext>
          </c:extLst>
        </c:ser>
        <c:dLbls>
          <c:showLegendKey val="0"/>
          <c:showVal val="0"/>
          <c:showCatName val="0"/>
          <c:showSerName val="0"/>
          <c:showPercent val="0"/>
          <c:showBubbleSize val="0"/>
        </c:dLbls>
        <c:axId val="52368512"/>
        <c:axId val="52370048"/>
      </c:scatterChart>
      <c:scatterChart>
        <c:scatterStyle val="lineMarker"/>
        <c:varyColors val="0"/>
        <c:ser>
          <c:idx val="1"/>
          <c:order val="3"/>
          <c:tx>
            <c:strRef>
              <c:f>Details!$D$8</c:f>
              <c:strCache>
                <c:ptCount val="1"/>
                <c:pt idx="0">
                  <c:v>Total Power</c:v>
                </c:pt>
              </c:strCache>
            </c:strRef>
          </c:tx>
          <c:spPr>
            <a:ln w="12700">
              <a:solidFill>
                <a:srgbClr val="000000"/>
              </a:solidFill>
              <a:prstDash val="solid"/>
            </a:ln>
          </c:spPr>
          <c:marker>
            <c:symbol val="none"/>
          </c:marker>
          <c:xVal>
            <c:numRef>
              <c:f>Details!$B$11:$B$78</c:f>
              <c:numCache>
                <c:formatCode>dd/mm/yy\ hh:mm;@</c:formatCode>
                <c:ptCount val="68"/>
              </c:numCache>
            </c:numRef>
          </c:xVal>
          <c:yVal>
            <c:numRef>
              <c:f>Details!$D$11:$D$78</c:f>
              <c:numCache>
                <c:formatCode>#,##0</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3-C3C0-4449-A413-165A96F2A9AF}"/>
            </c:ext>
          </c:extLst>
        </c:ser>
        <c:dLbls>
          <c:showLegendKey val="0"/>
          <c:showVal val="0"/>
          <c:showCatName val="0"/>
          <c:showSerName val="0"/>
          <c:showPercent val="0"/>
          <c:showBubbleSize val="0"/>
        </c:dLbls>
        <c:axId val="52388608"/>
        <c:axId val="52390144"/>
      </c:scatterChart>
      <c:valAx>
        <c:axId val="52368512"/>
        <c:scaling>
          <c:orientation val="minMax"/>
        </c:scaling>
        <c:delete val="0"/>
        <c:axPos val="b"/>
        <c:numFmt formatCode="dd/mm/yy\ hh:mm;@"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2370048"/>
        <c:crosses val="autoZero"/>
        <c:crossBetween val="midCat"/>
        <c:majorUnit val="0.1"/>
      </c:valAx>
      <c:valAx>
        <c:axId val="52370048"/>
        <c:scaling>
          <c:orientation val="minMax"/>
          <c:min val="0"/>
        </c:scaling>
        <c:delete val="0"/>
        <c:axPos val="l"/>
        <c:majorGridlines>
          <c:spPr>
            <a:ln w="3175">
              <a:solidFill>
                <a:srgbClr val="000000"/>
              </a:solidFill>
              <a:prstDash val="solid"/>
            </a:ln>
          </c:spPr>
        </c:majorGridlines>
        <c:title>
          <c:tx>
            <c:strRef>
              <c:f>Details!$F$9</c:f>
              <c:strCache>
                <c:ptCount val="1"/>
                <c:pt idx="0">
                  <c:v>[kW]</c:v>
                </c:pt>
              </c:strCache>
            </c:strRef>
          </c:tx>
          <c:layout>
            <c:manualLayout>
              <c:xMode val="edge"/>
              <c:yMode val="edge"/>
              <c:x val="2.4516129032258065E-2"/>
              <c:y val="0.36111173603299584"/>
            </c:manualLayout>
          </c:layout>
          <c:overlay val="0"/>
          <c:spPr>
            <a:noFill/>
            <a:ln w="25400">
              <a:noFill/>
            </a:ln>
          </c:spPr>
          <c:txPr>
            <a:bodyPr/>
            <a:lstStyle/>
            <a:p>
              <a:pPr>
                <a:defRPr sz="1050" b="1" i="0" u="none" strike="noStrike" baseline="0">
                  <a:solidFill>
                    <a:srgbClr val="000000"/>
                  </a:solidFill>
                  <a:latin typeface="Arial"/>
                  <a:ea typeface="Arial"/>
                  <a:cs typeface="Arial"/>
                </a:defRPr>
              </a:pPr>
              <a:endParaRPr lang="en-US"/>
            </a:p>
          </c:tx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368512"/>
        <c:crosses val="autoZero"/>
        <c:crossBetween val="midCat"/>
      </c:valAx>
      <c:valAx>
        <c:axId val="52388608"/>
        <c:scaling>
          <c:orientation val="minMax"/>
        </c:scaling>
        <c:delete val="1"/>
        <c:axPos val="b"/>
        <c:numFmt formatCode="dd/mm/yy\ hh:mm;@" sourceLinked="1"/>
        <c:majorTickMark val="out"/>
        <c:minorTickMark val="none"/>
        <c:tickLblPos val="nextTo"/>
        <c:crossAx val="52390144"/>
        <c:crosses val="autoZero"/>
        <c:crossBetween val="midCat"/>
      </c:valAx>
      <c:valAx>
        <c:axId val="52390144"/>
        <c:scaling>
          <c:orientation val="minMax"/>
          <c:min val="0"/>
        </c:scaling>
        <c:delete val="0"/>
        <c:axPos val="r"/>
        <c:title>
          <c:tx>
            <c:rich>
              <a:bodyPr/>
              <a:lstStyle/>
              <a:p>
                <a:pPr>
                  <a:defRPr sz="1050" b="1" i="0" u="none" strike="noStrike" baseline="0">
                    <a:solidFill>
                      <a:srgbClr val="000000"/>
                    </a:solidFill>
                    <a:latin typeface="Arial"/>
                    <a:ea typeface="Arial"/>
                    <a:cs typeface="Arial"/>
                  </a:defRPr>
                </a:pPr>
                <a:r>
                  <a:rPr lang="da-DK"/>
                  <a:t>[kW]</a:t>
                </a:r>
              </a:p>
            </c:rich>
          </c:tx>
          <c:layout>
            <c:manualLayout>
              <c:xMode val="edge"/>
              <c:yMode val="edge"/>
              <c:x val="0.95096828380323428"/>
              <c:y val="0.37103237095363079"/>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2388608"/>
        <c:crosses val="max"/>
        <c:crossBetween val="midCat"/>
      </c:valAx>
      <c:spPr>
        <a:noFill/>
        <a:ln w="12700">
          <a:solidFill>
            <a:srgbClr val="808080"/>
          </a:solidFill>
          <a:prstDash val="solid"/>
        </a:ln>
      </c:spPr>
    </c:plotArea>
    <c:legend>
      <c:legendPos val="b"/>
      <c:layout>
        <c:manualLayout>
          <c:xMode val="edge"/>
          <c:yMode val="edge"/>
          <c:x val="5.469725922545244E-2"/>
          <c:y val="0.88517441938584807"/>
          <c:w val="0.8978606703045966"/>
          <c:h val="7.5040737975616875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Details!$J$3</c:f>
          <c:strCache>
            <c:ptCount val="1"/>
            <c:pt idx="0">
              <c:v>process 1 KPI</c:v>
            </c:pt>
          </c:strCache>
        </c:strRef>
      </c:tx>
      <c:layout>
        <c:manualLayout>
          <c:xMode val="edge"/>
          <c:yMode val="edge"/>
          <c:x val="0.45821854898303549"/>
          <c:y val="3.3708896359256675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3106701738929169"/>
          <c:y val="0.14446669868252859"/>
          <c:w val="0.84625948235605664"/>
          <c:h val="0.60354976338478616"/>
        </c:manualLayout>
      </c:layout>
      <c:scatterChart>
        <c:scatterStyle val="smoothMarker"/>
        <c:varyColors val="0"/>
        <c:ser>
          <c:idx val="3"/>
          <c:order val="0"/>
          <c:tx>
            <c:strRef>
              <c:f>Details!$E$8</c:f>
              <c:strCache>
                <c:ptCount val="1"/>
                <c:pt idx="0">
                  <c:v>KPI</c:v>
                </c:pt>
              </c:strCache>
            </c:strRef>
          </c:tx>
          <c:spPr>
            <a:ln w="12700">
              <a:solidFill>
                <a:srgbClr val="33CCCC"/>
              </a:solidFill>
              <a:prstDash val="solid"/>
            </a:ln>
          </c:spPr>
          <c:marker>
            <c:symbol val="none"/>
          </c:marker>
          <c:xVal>
            <c:numRef>
              <c:f>Details!$B$11:$B$78</c:f>
              <c:numCache>
                <c:formatCode>dd/mm/yy\ hh:mm;@</c:formatCode>
                <c:ptCount val="68"/>
              </c:numCache>
            </c:numRef>
          </c:xVal>
          <c:yVal>
            <c:numRef>
              <c:f>Details!$E$11:$E$78</c:f>
              <c:numCache>
                <c:formatCode>#,##0.00</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0-9756-495A-B71C-28BFDE6C187F}"/>
            </c:ext>
          </c:extLst>
        </c:ser>
        <c:dLbls>
          <c:showLegendKey val="0"/>
          <c:showVal val="0"/>
          <c:showCatName val="0"/>
          <c:showSerName val="0"/>
          <c:showPercent val="0"/>
          <c:showBubbleSize val="0"/>
        </c:dLbls>
        <c:axId val="52411392"/>
        <c:axId val="52425472"/>
      </c:scatterChart>
      <c:valAx>
        <c:axId val="52411392"/>
        <c:scaling>
          <c:orientation val="minMax"/>
        </c:scaling>
        <c:delete val="0"/>
        <c:axPos val="b"/>
        <c:numFmt formatCode="dd/mm/yy\ hh:mm;@" sourceLinked="1"/>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2425472"/>
        <c:crosses val="autoZero"/>
        <c:crossBetween val="midCat"/>
        <c:majorUnit val="0.1"/>
      </c:valAx>
      <c:valAx>
        <c:axId val="52425472"/>
        <c:scaling>
          <c:orientation val="minMax"/>
        </c:scaling>
        <c:delete val="0"/>
        <c:axPos val="l"/>
        <c:majorGridlines>
          <c:spPr>
            <a:ln w="3175">
              <a:solidFill>
                <a:srgbClr val="000000"/>
              </a:solidFill>
              <a:prstDash val="solid"/>
            </a:ln>
          </c:spPr>
        </c:majorGridlines>
        <c:title>
          <c:tx>
            <c:strRef>
              <c:f>Details!$E$9</c:f>
              <c:strCache>
                <c:ptCount val="1"/>
                <c:pt idx="0">
                  <c:v>[kWh]/tons</c:v>
                </c:pt>
              </c:strCache>
            </c:strRef>
          </c:tx>
          <c:layout>
            <c:manualLayout>
              <c:xMode val="edge"/>
              <c:yMode val="edge"/>
              <c:x val="2.9677419354838711E-2"/>
              <c:y val="0.32848276501819806"/>
            </c:manualLayout>
          </c:layout>
          <c:overlay val="0"/>
          <c:spPr>
            <a:noFill/>
            <a:ln w="25400">
              <a:noFill/>
            </a:ln>
          </c:spPr>
          <c:txPr>
            <a:bodyPr/>
            <a:lstStyle/>
            <a:p>
              <a:pPr>
                <a:defRPr sz="1175" b="1" i="0" u="none" strike="noStrike" baseline="0">
                  <a:solidFill>
                    <a:srgbClr val="000000"/>
                  </a:solidFill>
                  <a:latin typeface="Arial"/>
                  <a:ea typeface="Arial"/>
                  <a:cs typeface="Arial"/>
                </a:defRPr>
              </a:pPr>
              <a:endParaRPr lang="en-US"/>
            </a:p>
          </c:tx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2411392"/>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Tahoma"/>
                <a:ea typeface="Tahoma"/>
                <a:cs typeface="Tahoma"/>
              </a:defRPr>
            </a:pPr>
            <a:r>
              <a:rPr lang="da-DK"/>
              <a:t>Outdoor Temperature Dependancy</a:t>
            </a:r>
          </a:p>
        </c:rich>
      </c:tx>
      <c:layout>
        <c:manualLayout>
          <c:xMode val="edge"/>
          <c:yMode val="edge"/>
          <c:x val="0.32942749343832017"/>
          <c:y val="3.3078880407124679E-2"/>
        </c:manualLayout>
      </c:layout>
      <c:overlay val="0"/>
      <c:spPr>
        <a:noFill/>
        <a:ln w="25400">
          <a:noFill/>
        </a:ln>
      </c:spPr>
    </c:title>
    <c:autoTitleDeleted val="0"/>
    <c:plotArea>
      <c:layout>
        <c:manualLayout>
          <c:layoutTarget val="inner"/>
          <c:xMode val="edge"/>
          <c:yMode val="edge"/>
          <c:x val="8.9843864242381083E-2"/>
          <c:y val="0.16539481302384756"/>
          <c:w val="0.84635524286301023"/>
          <c:h val="0.67684646560528394"/>
        </c:manualLayout>
      </c:layout>
      <c:scatterChart>
        <c:scatterStyle val="lineMarker"/>
        <c:varyColors val="0"/>
        <c:ser>
          <c:idx val="0"/>
          <c:order val="0"/>
          <c:tx>
            <c:strRef>
              <c:f>Details!$L$9</c:f>
              <c:strCache>
                <c:ptCount val="1"/>
                <c:pt idx="0">
                  <c:v>[°C]</c:v>
                </c:pt>
              </c:strCache>
            </c:strRef>
          </c:tx>
          <c:spPr>
            <a:ln w="28575">
              <a:noFill/>
            </a:ln>
          </c:spPr>
          <c:marker>
            <c:symbol val="circle"/>
            <c:size val="7"/>
            <c:spPr>
              <a:solidFill>
                <a:srgbClr val="FF0000"/>
              </a:solidFill>
              <a:ln>
                <a:solidFill>
                  <a:srgbClr val="FF0000"/>
                </a:solidFill>
                <a:prstDash val="solid"/>
              </a:ln>
            </c:spPr>
          </c:marker>
          <c:xVal>
            <c:numRef>
              <c:f>Details!$L$10:$L$78</c:f>
              <c:numCache>
                <c:formatCode>#,##0.00</c:formatCode>
                <c:ptCount val="69"/>
              </c:numCache>
            </c:numRef>
          </c:xVal>
          <c:yVal>
            <c:numRef>
              <c:f>Details!$D$10:$D$78</c:f>
              <c:numCache>
                <c:formatCode>#,##0</c:formatCode>
                <c:ptCount val="69"/>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numCache>
            </c:numRef>
          </c:yVal>
          <c:smooth val="0"/>
          <c:extLst>
            <c:ext xmlns:c16="http://schemas.microsoft.com/office/drawing/2014/chart" uri="{C3380CC4-5D6E-409C-BE32-E72D297353CC}">
              <c16:uniqueId val="{00000000-D200-46BD-9F7A-CBC153B841AF}"/>
            </c:ext>
          </c:extLst>
        </c:ser>
        <c:dLbls>
          <c:showLegendKey val="0"/>
          <c:showVal val="0"/>
          <c:showCatName val="0"/>
          <c:showSerName val="0"/>
          <c:showPercent val="0"/>
          <c:showBubbleSize val="0"/>
        </c:dLbls>
        <c:axId val="52474624"/>
        <c:axId val="52476928"/>
      </c:scatterChart>
      <c:valAx>
        <c:axId val="52474624"/>
        <c:scaling>
          <c:orientation val="minMax"/>
        </c:scaling>
        <c:delete val="0"/>
        <c:axPos val="b"/>
        <c:title>
          <c:tx>
            <c:rich>
              <a:bodyPr/>
              <a:lstStyle/>
              <a:p>
                <a:pPr>
                  <a:defRPr sz="900" b="1" i="0" u="none" strike="noStrike" baseline="0">
                    <a:solidFill>
                      <a:srgbClr val="000000"/>
                    </a:solidFill>
                    <a:latin typeface="Tahoma"/>
                    <a:ea typeface="Tahoma"/>
                    <a:cs typeface="Tahoma"/>
                  </a:defRPr>
                </a:pPr>
                <a:r>
                  <a:rPr lang="da-DK"/>
                  <a:t>grC</a:t>
                </a:r>
              </a:p>
            </c:rich>
          </c:tx>
          <c:layout>
            <c:manualLayout>
              <c:xMode val="edge"/>
              <c:yMode val="edge"/>
              <c:x val="0.49739651684164482"/>
              <c:y val="0.91094361296440984"/>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52476928"/>
        <c:crosses val="autoZero"/>
        <c:crossBetween val="midCat"/>
      </c:valAx>
      <c:valAx>
        <c:axId val="52476928"/>
        <c:scaling>
          <c:orientation val="minMax"/>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Tahoma"/>
                    <a:ea typeface="Tahoma"/>
                    <a:cs typeface="Tahoma"/>
                  </a:defRPr>
                </a:pPr>
                <a:r>
                  <a:rPr lang="da-DK"/>
                  <a:t>kW</a:t>
                </a:r>
              </a:p>
            </c:rich>
          </c:tx>
          <c:layout>
            <c:manualLayout>
              <c:xMode val="edge"/>
              <c:yMode val="edge"/>
              <c:x val="2.2135416666666668E-2"/>
              <c:y val="0.4758280405788970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Tahoma"/>
                <a:ea typeface="Tahoma"/>
                <a:cs typeface="Tahoma"/>
              </a:defRPr>
            </a:pPr>
            <a:endParaRPr lang="en-US"/>
          </a:p>
        </c:txPr>
        <c:crossAx val="52474624"/>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Tahoma"/>
          <a:ea typeface="Tahoma"/>
          <a:cs typeface="Tahoma"/>
        </a:defRPr>
      </a:pPr>
      <a:endParaRPr lang="en-US"/>
    </a:p>
  </c:txPr>
  <c:printSettings>
    <c:headerFooter alignWithMargins="0"/>
    <c:pageMargins b="1" l="0.75" r="0.75"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Electricity Consumption KPI</a:t>
            </a:r>
          </a:p>
        </c:rich>
      </c:tx>
      <c:layout>
        <c:manualLayout>
          <c:xMode val="edge"/>
          <c:yMode val="edge"/>
          <c:x val="0.33388704318936879"/>
          <c:y val="3.2019704433497539E-2"/>
        </c:manualLayout>
      </c:layout>
      <c:overlay val="0"/>
      <c:spPr>
        <a:noFill/>
        <a:ln w="25400">
          <a:noFill/>
        </a:ln>
      </c:spPr>
    </c:title>
    <c:autoTitleDeleted val="0"/>
    <c:plotArea>
      <c:layout>
        <c:manualLayout>
          <c:layoutTarget val="inner"/>
          <c:xMode val="edge"/>
          <c:yMode val="edge"/>
          <c:x val="0.12177207126297541"/>
          <c:y val="0.13793120036753431"/>
          <c:w val="0.85663321428322781"/>
          <c:h val="0.6970451732859323"/>
        </c:manualLayout>
      </c:layout>
      <c:barChart>
        <c:barDir val="col"/>
        <c:grouping val="clustered"/>
        <c:varyColors val="0"/>
        <c:ser>
          <c:idx val="0"/>
          <c:order val="0"/>
          <c:tx>
            <c:strRef>
              <c:f>KPI!$P$21</c:f>
              <c:strCache>
                <c:ptCount val="1"/>
                <c:pt idx="0">
                  <c:v>[kWh/Ton]</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KPI!$P$22:$P$33</c:f>
              <c:numCache>
                <c:formatCode>#,##0.00</c:formatCode>
                <c:ptCount val="12"/>
                <c:pt idx="0">
                  <c:v>175.81787806906186</c:v>
                </c:pt>
                <c:pt idx="1">
                  <c:v>237.71584797476416</c:v>
                </c:pt>
                <c:pt idx="2">
                  <c:v>117.60117157021108</c:v>
                </c:pt>
                <c:pt idx="3">
                  <c:v>131.73361230183454</c:v>
                </c:pt>
                <c:pt idx="4">
                  <c:v>131.10753323195522</c:v>
                </c:pt>
                <c:pt idx="5">
                  <c:v>116.26071124008004</c:v>
                </c:pt>
                <c:pt idx="6">
                  <c:v>111.40829023345229</c:v>
                </c:pt>
                <c:pt idx="7">
                  <c:v>109.22453523008288</c:v>
                </c:pt>
                <c:pt idx="8">
                  <c:v>131.72245946754256</c:v>
                </c:pt>
                <c:pt idx="9">
                  <c:v>101.83975348659513</c:v>
                </c:pt>
                <c:pt idx="10">
                  <c:v>115.06337610019071</c:v>
                </c:pt>
                <c:pt idx="11">
                  <c:v>91.937332111027345</c:v>
                </c:pt>
              </c:numCache>
            </c:numRef>
          </c:val>
          <c:extLst>
            <c:ext xmlns:c16="http://schemas.microsoft.com/office/drawing/2014/chart" uri="{C3380CC4-5D6E-409C-BE32-E72D297353CC}">
              <c16:uniqueId val="{00000000-B050-4A42-865E-A728C7A38DBA}"/>
            </c:ext>
          </c:extLst>
        </c:ser>
        <c:dLbls>
          <c:showLegendKey val="0"/>
          <c:showVal val="0"/>
          <c:showCatName val="0"/>
          <c:showSerName val="0"/>
          <c:showPercent val="0"/>
          <c:showBubbleSize val="0"/>
        </c:dLbls>
        <c:gapWidth val="150"/>
        <c:axId val="50080384"/>
        <c:axId val="50090368"/>
      </c:barChart>
      <c:catAx>
        <c:axId val="50080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090368"/>
        <c:crosses val="autoZero"/>
        <c:auto val="1"/>
        <c:lblAlgn val="ctr"/>
        <c:lblOffset val="100"/>
        <c:tickLblSkip val="1"/>
        <c:tickMarkSkip val="1"/>
        <c:noMultiLvlLbl val="0"/>
      </c:catAx>
      <c:valAx>
        <c:axId val="50090368"/>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6611295681063124E-2"/>
              <c:y val="0.4507394334328898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080384"/>
        <c:crosses val="autoZero"/>
        <c:crossBetween val="between"/>
      </c:valAx>
      <c:spPr>
        <a:noFill/>
        <a:ln w="12700">
          <a:solidFill>
            <a:srgbClr val="808080"/>
          </a:solidFill>
          <a:prstDash val="solid"/>
        </a:ln>
      </c:spPr>
    </c:plotArea>
    <c:legend>
      <c:legendPos val="b"/>
      <c:layout>
        <c:manualLayout>
          <c:xMode val="edge"/>
          <c:yMode val="edge"/>
          <c:x val="0.20078363640350363"/>
          <c:y val="0.90669677886050204"/>
          <c:w val="0.65027990628747634"/>
          <c:h val="7.238335629558630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Details!$J$4</c:f>
          <c:strCache>
            <c:ptCount val="1"/>
            <c:pt idx="0">
              <c:v>process 1 Energy and Production</c:v>
            </c:pt>
          </c:strCache>
        </c:strRef>
      </c:tx>
      <c:layout>
        <c:manualLayout>
          <c:xMode val="edge"/>
          <c:yMode val="edge"/>
          <c:x val="0.36158138511636462"/>
          <c:y val="2.5223348522948982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0322587148807427"/>
          <c:y val="0.14682568131836193"/>
          <c:w val="0.80129082742617652"/>
          <c:h val="0.51785814627151983"/>
        </c:manualLayout>
      </c:layout>
      <c:scatterChart>
        <c:scatterStyle val="smoothMarker"/>
        <c:varyColors val="0"/>
        <c:ser>
          <c:idx val="4"/>
          <c:order val="2"/>
          <c:tx>
            <c:strRef>
              <c:f>Details!$C$8</c:f>
              <c:strCache>
                <c:ptCount val="1"/>
                <c:pt idx="0">
                  <c:v>Total Energy</c:v>
                </c:pt>
              </c:strCache>
            </c:strRef>
          </c:tx>
          <c:spPr>
            <a:ln w="12700">
              <a:solidFill>
                <a:srgbClr val="FF0000"/>
              </a:solidFill>
              <a:prstDash val="solid"/>
            </a:ln>
          </c:spPr>
          <c:marker>
            <c:symbol val="none"/>
          </c:marker>
          <c:xVal>
            <c:numRef>
              <c:f>Details!$B$11:$B$78</c:f>
              <c:numCache>
                <c:formatCode>dd/mm/yy\ hh:mm;@</c:formatCode>
                <c:ptCount val="68"/>
              </c:numCache>
            </c:numRef>
          </c:xVal>
          <c:yVal>
            <c:numRef>
              <c:f>Details!$C$11:$C$78</c:f>
              <c:numCache>
                <c:formatCode>#,##0</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0-4181-427F-ABBE-5E1C7C680178}"/>
            </c:ext>
          </c:extLst>
        </c:ser>
        <c:dLbls>
          <c:showLegendKey val="0"/>
          <c:showVal val="0"/>
          <c:showCatName val="0"/>
          <c:showSerName val="0"/>
          <c:showPercent val="0"/>
          <c:showBubbleSize val="0"/>
        </c:dLbls>
        <c:axId val="54021120"/>
        <c:axId val="54031104"/>
      </c:scatterChart>
      <c:scatterChart>
        <c:scatterStyle val="lineMarker"/>
        <c:varyColors val="0"/>
        <c:ser>
          <c:idx val="2"/>
          <c:order val="0"/>
          <c:tx>
            <c:strRef>
              <c:f>Details!$J$8</c:f>
              <c:strCache>
                <c:ptCount val="1"/>
                <c:pt idx="0">
                  <c:v>Produced</c:v>
                </c:pt>
              </c:strCache>
            </c:strRef>
          </c:tx>
          <c:spPr>
            <a:ln w="12700">
              <a:solidFill>
                <a:srgbClr val="008080"/>
              </a:solidFill>
              <a:prstDash val="solid"/>
            </a:ln>
          </c:spPr>
          <c:marker>
            <c:symbol val="none"/>
          </c:marker>
          <c:xVal>
            <c:numRef>
              <c:f>Details!$B$11:$B$78</c:f>
              <c:numCache>
                <c:formatCode>dd/mm/yy\ hh:mm;@</c:formatCode>
                <c:ptCount val="68"/>
              </c:numCache>
            </c:numRef>
          </c:xVal>
          <c:yVal>
            <c:numRef>
              <c:f>Details!$J$11:$J$78</c:f>
              <c:numCache>
                <c:formatCode>#,##0.00</c:formatCode>
                <c:ptCount val="68"/>
              </c:numCache>
            </c:numRef>
          </c:yVal>
          <c:smooth val="1"/>
          <c:extLst>
            <c:ext xmlns:c16="http://schemas.microsoft.com/office/drawing/2014/chart" uri="{C3380CC4-5D6E-409C-BE32-E72D297353CC}">
              <c16:uniqueId val="{00000001-4181-427F-ABBE-5E1C7C680178}"/>
            </c:ext>
          </c:extLst>
        </c:ser>
        <c:ser>
          <c:idx val="0"/>
          <c:order val="1"/>
          <c:tx>
            <c:strRef>
              <c:f>Details!$K$8</c:f>
              <c:strCache>
                <c:ptCount val="1"/>
                <c:pt idx="0">
                  <c:v>Rejects</c:v>
                </c:pt>
              </c:strCache>
            </c:strRef>
          </c:tx>
          <c:spPr>
            <a:ln w="12700">
              <a:solidFill>
                <a:srgbClr val="993366"/>
              </a:solidFill>
              <a:prstDash val="solid"/>
            </a:ln>
          </c:spPr>
          <c:marker>
            <c:symbol val="none"/>
          </c:marker>
          <c:xVal>
            <c:numRef>
              <c:f>Details!$B$11:$B$78</c:f>
              <c:numCache>
                <c:formatCode>dd/mm/yy\ hh:mm;@</c:formatCode>
                <c:ptCount val="68"/>
              </c:numCache>
            </c:numRef>
          </c:xVal>
          <c:yVal>
            <c:numRef>
              <c:f>Details!$K$11:$K$78</c:f>
              <c:numCache>
                <c:formatCode>#,##0.00</c:formatCode>
                <c:ptCount val="68"/>
              </c:numCache>
            </c:numRef>
          </c:yVal>
          <c:smooth val="1"/>
          <c:extLst>
            <c:ext xmlns:c16="http://schemas.microsoft.com/office/drawing/2014/chart" uri="{C3380CC4-5D6E-409C-BE32-E72D297353CC}">
              <c16:uniqueId val="{00000002-4181-427F-ABBE-5E1C7C680178}"/>
            </c:ext>
          </c:extLst>
        </c:ser>
        <c:dLbls>
          <c:showLegendKey val="0"/>
          <c:showVal val="0"/>
          <c:showCatName val="0"/>
          <c:showSerName val="0"/>
          <c:showPercent val="0"/>
          <c:showBubbleSize val="0"/>
        </c:dLbls>
        <c:axId val="54033024"/>
        <c:axId val="54038912"/>
      </c:scatterChart>
      <c:valAx>
        <c:axId val="54021120"/>
        <c:scaling>
          <c:orientation val="minMax"/>
        </c:scaling>
        <c:delete val="0"/>
        <c:axPos val="b"/>
        <c:numFmt formatCode="dd/mm/yy\ hh:mm;@" sourceLinked="1"/>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4031104"/>
        <c:crosses val="autoZero"/>
        <c:crossBetween val="midCat"/>
        <c:majorUnit val="0.1"/>
      </c:valAx>
      <c:valAx>
        <c:axId val="54031104"/>
        <c:scaling>
          <c:orientation val="minMax"/>
          <c:min val="0"/>
        </c:scaling>
        <c:delete val="0"/>
        <c:axPos val="l"/>
        <c:majorGridlines>
          <c:spPr>
            <a:ln w="3175">
              <a:solidFill>
                <a:srgbClr val="000000"/>
              </a:solidFill>
              <a:prstDash val="solid"/>
            </a:ln>
          </c:spPr>
        </c:majorGridlines>
        <c:title>
          <c:tx>
            <c:strRef>
              <c:f>Details!$F$9</c:f>
              <c:strCache>
                <c:ptCount val="1"/>
                <c:pt idx="0">
                  <c:v>[kW]</c:v>
                </c:pt>
              </c:strCache>
            </c:strRef>
          </c:tx>
          <c:layout>
            <c:manualLayout>
              <c:xMode val="edge"/>
              <c:yMode val="edge"/>
              <c:x val="2.4516129032258065E-2"/>
              <c:y val="0.36111173603299584"/>
            </c:manualLayout>
          </c:layout>
          <c:overlay val="0"/>
          <c:spPr>
            <a:noFill/>
            <a:ln w="25400">
              <a:noFill/>
            </a:ln>
          </c:spPr>
          <c:txPr>
            <a:bodyPr/>
            <a:lstStyle/>
            <a:p>
              <a:pPr>
                <a:defRPr sz="1050" b="1" i="0" u="none" strike="noStrike" baseline="0">
                  <a:solidFill>
                    <a:srgbClr val="000000"/>
                  </a:solidFill>
                  <a:latin typeface="Arial"/>
                  <a:ea typeface="Arial"/>
                  <a:cs typeface="Arial"/>
                </a:defRPr>
              </a:pPr>
              <a:endParaRPr lang="en-US"/>
            </a:p>
          </c:tx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4021120"/>
        <c:crosses val="autoZero"/>
        <c:crossBetween val="midCat"/>
      </c:valAx>
      <c:valAx>
        <c:axId val="54033024"/>
        <c:scaling>
          <c:orientation val="minMax"/>
        </c:scaling>
        <c:delete val="1"/>
        <c:axPos val="b"/>
        <c:numFmt formatCode="dd/mm/yy\ hh:mm;@" sourceLinked="1"/>
        <c:majorTickMark val="out"/>
        <c:minorTickMark val="none"/>
        <c:tickLblPos val="nextTo"/>
        <c:crossAx val="54038912"/>
        <c:crosses val="autoZero"/>
        <c:crossBetween val="midCat"/>
      </c:valAx>
      <c:valAx>
        <c:axId val="54038912"/>
        <c:scaling>
          <c:orientation val="minMax"/>
          <c:min val="0"/>
        </c:scaling>
        <c:delete val="0"/>
        <c:axPos val="r"/>
        <c:numFmt formatCode="#,##0.00"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4033024"/>
        <c:crosses val="max"/>
        <c:crossBetween val="midCat"/>
      </c:valAx>
      <c:spPr>
        <a:noFill/>
        <a:ln w="12700">
          <a:solidFill>
            <a:srgbClr val="808080"/>
          </a:solidFill>
          <a:prstDash val="solid"/>
        </a:ln>
      </c:spPr>
    </c:plotArea>
    <c:legend>
      <c:legendPos val="b"/>
      <c:layout>
        <c:manualLayout>
          <c:xMode val="edge"/>
          <c:yMode val="edge"/>
          <c:x val="4.2356676542202709E-2"/>
          <c:y val="0.88430092468691723"/>
          <c:w val="0.89878801443210632"/>
          <c:h val="7.2702592801441188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 footer="0"/>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Details!$J$5</c:f>
          <c:strCache>
            <c:ptCount val="1"/>
            <c:pt idx="0">
              <c:v>process 1 Energy and Temperature</c:v>
            </c:pt>
          </c:strCache>
        </c:strRef>
      </c:tx>
      <c:layout>
        <c:manualLayout>
          <c:xMode val="edge"/>
          <c:yMode val="edge"/>
          <c:x val="0.35331666774227627"/>
          <c:y val="2.5148740939585155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0322587148807427"/>
          <c:y val="0.14682568131836193"/>
          <c:w val="0.80129082742617652"/>
          <c:h val="0.51785814627151983"/>
        </c:manualLayout>
      </c:layout>
      <c:scatterChart>
        <c:scatterStyle val="smoothMarker"/>
        <c:varyColors val="0"/>
        <c:ser>
          <c:idx val="4"/>
          <c:order val="1"/>
          <c:tx>
            <c:strRef>
              <c:f>Details!$C$8</c:f>
              <c:strCache>
                <c:ptCount val="1"/>
                <c:pt idx="0">
                  <c:v>Total Energy</c:v>
                </c:pt>
              </c:strCache>
            </c:strRef>
          </c:tx>
          <c:spPr>
            <a:ln w="12700">
              <a:solidFill>
                <a:srgbClr val="FF0000"/>
              </a:solidFill>
              <a:prstDash val="solid"/>
            </a:ln>
          </c:spPr>
          <c:marker>
            <c:symbol val="none"/>
          </c:marker>
          <c:xVal>
            <c:numRef>
              <c:f>Details!$B$11:$B$78</c:f>
              <c:numCache>
                <c:formatCode>dd/mm/yy\ hh:mm;@</c:formatCode>
                <c:ptCount val="68"/>
              </c:numCache>
            </c:numRef>
          </c:xVal>
          <c:yVal>
            <c:numRef>
              <c:f>Details!$C$11:$C$78</c:f>
              <c:numCache>
                <c:formatCode>#,##0</c:formatCode>
                <c:ptCount val="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numCache>
            </c:numRef>
          </c:yVal>
          <c:smooth val="1"/>
          <c:extLst>
            <c:ext xmlns:c16="http://schemas.microsoft.com/office/drawing/2014/chart" uri="{C3380CC4-5D6E-409C-BE32-E72D297353CC}">
              <c16:uniqueId val="{00000000-3FDC-44E8-B2AC-3D25DD88E6C7}"/>
            </c:ext>
          </c:extLst>
        </c:ser>
        <c:dLbls>
          <c:showLegendKey val="0"/>
          <c:showVal val="0"/>
          <c:showCatName val="0"/>
          <c:showSerName val="0"/>
          <c:showPercent val="0"/>
          <c:showBubbleSize val="0"/>
        </c:dLbls>
        <c:axId val="53808512"/>
        <c:axId val="53822592"/>
      </c:scatterChart>
      <c:scatterChart>
        <c:scatterStyle val="lineMarker"/>
        <c:varyColors val="0"/>
        <c:ser>
          <c:idx val="0"/>
          <c:order val="0"/>
          <c:tx>
            <c:strRef>
              <c:f>Details!$L$8</c:f>
              <c:strCache>
                <c:ptCount val="1"/>
                <c:pt idx="0">
                  <c:v>Temperature</c:v>
                </c:pt>
              </c:strCache>
            </c:strRef>
          </c:tx>
          <c:spPr>
            <a:ln w="12700">
              <a:solidFill>
                <a:srgbClr val="993366"/>
              </a:solidFill>
              <a:prstDash val="solid"/>
            </a:ln>
          </c:spPr>
          <c:marker>
            <c:symbol val="none"/>
          </c:marker>
          <c:xVal>
            <c:numRef>
              <c:f>Details!$B$11:$B$78</c:f>
              <c:numCache>
                <c:formatCode>dd/mm/yy\ hh:mm;@</c:formatCode>
                <c:ptCount val="68"/>
              </c:numCache>
            </c:numRef>
          </c:xVal>
          <c:yVal>
            <c:numRef>
              <c:f>Details!$L$11:$L$78</c:f>
              <c:numCache>
                <c:formatCode>#,##0.00</c:formatCode>
                <c:ptCount val="68"/>
              </c:numCache>
            </c:numRef>
          </c:yVal>
          <c:smooth val="1"/>
          <c:extLst>
            <c:ext xmlns:c16="http://schemas.microsoft.com/office/drawing/2014/chart" uri="{C3380CC4-5D6E-409C-BE32-E72D297353CC}">
              <c16:uniqueId val="{00000001-3FDC-44E8-B2AC-3D25DD88E6C7}"/>
            </c:ext>
          </c:extLst>
        </c:ser>
        <c:dLbls>
          <c:showLegendKey val="0"/>
          <c:showVal val="0"/>
          <c:showCatName val="0"/>
          <c:showSerName val="0"/>
          <c:showPercent val="0"/>
          <c:showBubbleSize val="0"/>
        </c:dLbls>
        <c:axId val="53824512"/>
        <c:axId val="53826304"/>
      </c:scatterChart>
      <c:valAx>
        <c:axId val="53808512"/>
        <c:scaling>
          <c:orientation val="minMax"/>
        </c:scaling>
        <c:delete val="0"/>
        <c:axPos val="b"/>
        <c:numFmt formatCode="dd/mm/yy\ hh:mm;@" sourceLinked="1"/>
        <c:majorTickMark val="out"/>
        <c:minorTickMark val="none"/>
        <c:tickLblPos val="low"/>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3822592"/>
        <c:crosses val="autoZero"/>
        <c:crossBetween val="midCat"/>
        <c:majorUnit val="0.1"/>
      </c:valAx>
      <c:valAx>
        <c:axId val="53822592"/>
        <c:scaling>
          <c:orientation val="minMax"/>
          <c:min val="0"/>
        </c:scaling>
        <c:delete val="0"/>
        <c:axPos val="l"/>
        <c:majorGridlines>
          <c:spPr>
            <a:ln w="3175">
              <a:solidFill>
                <a:srgbClr val="000000"/>
              </a:solidFill>
              <a:prstDash val="solid"/>
            </a:ln>
          </c:spPr>
        </c:majorGridlines>
        <c:title>
          <c:tx>
            <c:strRef>
              <c:f>Details!$F$9</c:f>
              <c:strCache>
                <c:ptCount val="1"/>
                <c:pt idx="0">
                  <c:v>[kW]</c:v>
                </c:pt>
              </c:strCache>
            </c:strRef>
          </c:tx>
          <c:layout>
            <c:manualLayout>
              <c:xMode val="edge"/>
              <c:yMode val="edge"/>
              <c:x val="2.4516129032258065E-2"/>
              <c:y val="0.36111173603299584"/>
            </c:manualLayout>
          </c:layout>
          <c:overlay val="0"/>
          <c:spPr>
            <a:noFill/>
            <a:ln w="25400">
              <a:noFill/>
            </a:ln>
          </c:spPr>
          <c:txPr>
            <a:bodyPr/>
            <a:lstStyle/>
            <a:p>
              <a:pPr>
                <a:defRPr sz="1050" b="1" i="0" u="none" strike="noStrike" baseline="0">
                  <a:solidFill>
                    <a:srgbClr val="000000"/>
                  </a:solidFill>
                  <a:latin typeface="Arial"/>
                  <a:ea typeface="Arial"/>
                  <a:cs typeface="Arial"/>
                </a:defRPr>
              </a:pPr>
              <a:endParaRPr lang="en-US"/>
            </a:p>
          </c:tx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08512"/>
        <c:crosses val="autoZero"/>
        <c:crossBetween val="midCat"/>
      </c:valAx>
      <c:valAx>
        <c:axId val="53824512"/>
        <c:scaling>
          <c:orientation val="minMax"/>
        </c:scaling>
        <c:delete val="1"/>
        <c:axPos val="b"/>
        <c:numFmt formatCode="dd/mm/yy\ hh:mm;@" sourceLinked="1"/>
        <c:majorTickMark val="out"/>
        <c:minorTickMark val="none"/>
        <c:tickLblPos val="nextTo"/>
        <c:crossAx val="53826304"/>
        <c:crosses val="autoZero"/>
        <c:crossBetween val="midCat"/>
      </c:valAx>
      <c:valAx>
        <c:axId val="53826304"/>
        <c:scaling>
          <c:orientation val="minMax"/>
        </c:scaling>
        <c:delete val="0"/>
        <c:axPos val="r"/>
        <c:numFmt formatCode="#,##0.00"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3824512"/>
        <c:crosses val="max"/>
        <c:crossBetween val="midCat"/>
      </c:valAx>
      <c:spPr>
        <a:noFill/>
        <a:ln w="12700">
          <a:solidFill>
            <a:srgbClr val="808080"/>
          </a:solidFill>
          <a:prstDash val="solid"/>
        </a:ln>
      </c:spPr>
    </c:plotArea>
    <c:legend>
      <c:legendPos val="b"/>
      <c:layout>
        <c:manualLayout>
          <c:xMode val="edge"/>
          <c:yMode val="edge"/>
          <c:x val="3.8224317855158549E-2"/>
          <c:y val="0.88760262139712309"/>
          <c:w val="0.89878801443210632"/>
          <c:h val="7.2487547414098394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 footer="0"/>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Electricity Cost KPI</a:t>
            </a:r>
          </a:p>
        </c:rich>
      </c:tx>
      <c:layout>
        <c:manualLayout>
          <c:xMode val="edge"/>
          <c:yMode val="edge"/>
          <c:x val="0.38435975037230163"/>
          <c:y val="3.1862745098039214E-2"/>
        </c:manualLayout>
      </c:layout>
      <c:overlay val="0"/>
      <c:spPr>
        <a:noFill/>
        <a:ln w="25400">
          <a:noFill/>
        </a:ln>
      </c:spPr>
    </c:title>
    <c:autoTitleDeleted val="0"/>
    <c:plotArea>
      <c:layout>
        <c:manualLayout>
          <c:layoutTarget val="inner"/>
          <c:xMode val="edge"/>
          <c:yMode val="edge"/>
          <c:x val="0.10755734716427379"/>
          <c:y val="0.14460818926209515"/>
          <c:w val="0.86914895100263856"/>
          <c:h val="0.6911781249476413"/>
        </c:manualLayout>
      </c:layout>
      <c:barChart>
        <c:barDir val="col"/>
        <c:grouping val="clustered"/>
        <c:varyColors val="0"/>
        <c:ser>
          <c:idx val="0"/>
          <c:order val="0"/>
          <c:tx>
            <c:strRef>
              <c:f>KPI!$AB$21</c:f>
              <c:strCache>
                <c:ptCount val="1"/>
                <c:pt idx="0">
                  <c:v>[$/Ton]</c:v>
                </c:pt>
              </c:strCache>
            </c:strRef>
          </c:tx>
          <c:spPr>
            <a:solidFill>
              <a:srgbClr val="3366FF"/>
            </a:solidFill>
            <a:ln w="12700">
              <a:solidFill>
                <a:srgbClr val="008080"/>
              </a:solidFill>
              <a:prstDash val="solid"/>
            </a:ln>
          </c:spPr>
          <c:invertIfNegative val="0"/>
          <c:cat>
            <c:strRef>
              <c:f>KPI!$B$22:$B$33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KPI!$AB$22:$AB$33</c:f>
              <c:numCache>
                <c:formatCode>#,##0.00</c:formatCode>
                <c:ptCount val="12"/>
                <c:pt idx="0">
                  <c:v>7.5402762183276746</c:v>
                </c:pt>
                <c:pt idx="1">
                  <c:v>10.073392359106034</c:v>
                </c:pt>
                <c:pt idx="2">
                  <c:v>4.7399228248441139</c:v>
                </c:pt>
                <c:pt idx="3">
                  <c:v>5.2432396300272934</c:v>
                </c:pt>
                <c:pt idx="4">
                  <c:v>5.4783245995796026</c:v>
                </c:pt>
                <c:pt idx="5">
                  <c:v>4.9712290261353145</c:v>
                </c:pt>
                <c:pt idx="6">
                  <c:v>6.2287990822087655</c:v>
                </c:pt>
                <c:pt idx="7">
                  <c:v>6.1558086599749444</c:v>
                </c:pt>
                <c:pt idx="8">
                  <c:v>7.3984298045986359</c:v>
                </c:pt>
                <c:pt idx="9">
                  <c:v>5.6169104943255945</c:v>
                </c:pt>
                <c:pt idx="10">
                  <c:v>6.4743808949425787</c:v>
                </c:pt>
                <c:pt idx="11">
                  <c:v>5.2572003246475374</c:v>
                </c:pt>
              </c:numCache>
            </c:numRef>
          </c:val>
          <c:extLst>
            <c:ext xmlns:c16="http://schemas.microsoft.com/office/drawing/2014/chart" uri="{C3380CC4-5D6E-409C-BE32-E72D297353CC}">
              <c16:uniqueId val="{00000000-C198-48C6-BAE5-1CED995A51BD}"/>
            </c:ext>
          </c:extLst>
        </c:ser>
        <c:dLbls>
          <c:showLegendKey val="0"/>
          <c:showVal val="0"/>
          <c:showCatName val="0"/>
          <c:showSerName val="0"/>
          <c:showPercent val="0"/>
          <c:showBubbleSize val="0"/>
        </c:dLbls>
        <c:gapWidth val="150"/>
        <c:axId val="50128384"/>
        <c:axId val="50129920"/>
      </c:barChart>
      <c:catAx>
        <c:axId val="50128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129920"/>
        <c:crosses val="autoZero"/>
        <c:auto val="1"/>
        <c:lblAlgn val="ctr"/>
        <c:lblOffset val="100"/>
        <c:tickLblSkip val="1"/>
        <c:tickMarkSkip val="1"/>
        <c:noMultiLvlLbl val="0"/>
      </c:catAx>
      <c:valAx>
        <c:axId val="50129920"/>
        <c:scaling>
          <c:orientation val="minMax"/>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da-DK"/>
                  <a:t>EPI</a:t>
                </a:r>
              </a:p>
            </c:rich>
          </c:tx>
          <c:layout>
            <c:manualLayout>
              <c:xMode val="edge"/>
              <c:yMode val="edge"/>
              <c:x val="1.6638935108153077E-2"/>
              <c:y val="0.4558833822242807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128384"/>
        <c:crosses val="autoZero"/>
        <c:crossBetween val="between"/>
      </c:valAx>
      <c:spPr>
        <a:noFill/>
        <a:ln w="12700">
          <a:solidFill>
            <a:srgbClr val="808080"/>
          </a:solidFill>
          <a:prstDash val="solid"/>
        </a:ln>
      </c:spPr>
    </c:plotArea>
    <c:legend>
      <c:legendPos val="b"/>
      <c:layout>
        <c:manualLayout>
          <c:xMode val="edge"/>
          <c:yMode val="edge"/>
          <c:x val="0.19585576857815604"/>
          <c:y val="0.90911912611589862"/>
          <c:w val="0.65112315116711494"/>
          <c:h val="6.8183934458692391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Natural Gas Consumption</a:t>
            </a:r>
          </a:p>
        </c:rich>
      </c:tx>
      <c:layout>
        <c:manualLayout>
          <c:xMode val="edge"/>
          <c:yMode val="edge"/>
          <c:x val="0.32771594561915712"/>
          <c:y val="3.3898305084745763E-2"/>
        </c:manualLayout>
      </c:layout>
      <c:overlay val="0"/>
      <c:spPr>
        <a:noFill/>
        <a:ln w="25400">
          <a:noFill/>
        </a:ln>
      </c:spPr>
    </c:title>
    <c:autoTitleDeleted val="0"/>
    <c:plotArea>
      <c:layout>
        <c:manualLayout>
          <c:layoutTarget val="inner"/>
          <c:xMode val="edge"/>
          <c:yMode val="edge"/>
          <c:x val="0.18569455577034905"/>
          <c:y val="0.15502681301892379"/>
          <c:w val="0.78802100523362728"/>
          <c:h val="0.66377677686975811"/>
        </c:manualLayout>
      </c:layout>
      <c:barChart>
        <c:barDir val="col"/>
        <c:grouping val="stacked"/>
        <c:varyColors val="0"/>
        <c:ser>
          <c:idx val="0"/>
          <c:order val="0"/>
          <c:tx>
            <c:strRef>
              <c:f>'Natural Gas'!$AH$8</c:f>
              <c:strCache>
                <c:ptCount val="1"/>
                <c:pt idx="0">
                  <c:v>Gas Consumption</c:v>
                </c:pt>
              </c:strCache>
            </c:strRef>
          </c:tx>
          <c:spPr>
            <a:solidFill>
              <a:srgbClr val="3366FF"/>
            </a:solidFill>
            <a:ln w="12700">
              <a:solidFill>
                <a:srgbClr val="008080"/>
              </a:solidFill>
              <a:prstDash val="solid"/>
            </a:ln>
          </c:spPr>
          <c:invertIfNegative val="0"/>
          <c:cat>
            <c:strRef>
              <c:f>'Natural Gas'!$B$10:$B$21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'Natural Gas'!$AH$10:$AH$21</c:f>
              <c:numCache>
                <c:formatCode>#,##0</c:formatCode>
                <c:ptCount val="12"/>
                <c:pt idx="0">
                  <c:v>624712.5</c:v>
                </c:pt>
                <c:pt idx="1">
                  <c:v>791088.75</c:v>
                </c:pt>
                <c:pt idx="2">
                  <c:v>905433.75</c:v>
                </c:pt>
                <c:pt idx="3">
                  <c:v>918855</c:v>
                </c:pt>
                <c:pt idx="4">
                  <c:v>1447920</c:v>
                </c:pt>
                <c:pt idx="5">
                  <c:v>1440956.25</c:v>
                </c:pt>
                <c:pt idx="6">
                  <c:v>845336.25</c:v>
                </c:pt>
                <c:pt idx="7">
                  <c:v>847586.25</c:v>
                </c:pt>
                <c:pt idx="8">
                  <c:v>832162.5</c:v>
                </c:pt>
                <c:pt idx="9">
                  <c:v>942648.75</c:v>
                </c:pt>
                <c:pt idx="10">
                  <c:v>1057635</c:v>
                </c:pt>
                <c:pt idx="11">
                  <c:v>1068750</c:v>
                </c:pt>
              </c:numCache>
            </c:numRef>
          </c:val>
          <c:extLst>
            <c:ext xmlns:c16="http://schemas.microsoft.com/office/drawing/2014/chart" uri="{C3380CC4-5D6E-409C-BE32-E72D297353CC}">
              <c16:uniqueId val="{00000000-714C-426D-981D-7AB417B6DF2E}"/>
            </c:ext>
          </c:extLst>
        </c:ser>
        <c:dLbls>
          <c:showLegendKey val="0"/>
          <c:showVal val="0"/>
          <c:showCatName val="0"/>
          <c:showSerName val="0"/>
          <c:showPercent val="0"/>
          <c:showBubbleSize val="0"/>
        </c:dLbls>
        <c:gapWidth val="150"/>
        <c:overlap val="100"/>
        <c:axId val="50176768"/>
        <c:axId val="50178304"/>
      </c:barChart>
      <c:catAx>
        <c:axId val="50176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178304"/>
        <c:crosses val="autoZero"/>
        <c:auto val="1"/>
        <c:lblAlgn val="ctr"/>
        <c:lblOffset val="100"/>
        <c:tickLblSkip val="1"/>
        <c:tickMarkSkip val="1"/>
        <c:noMultiLvlLbl val="0"/>
      </c:catAx>
      <c:valAx>
        <c:axId val="50178304"/>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da-DK"/>
                  <a:t>Monthly Gas Consumption [kWh]</a:t>
                </a:r>
              </a:p>
            </c:rich>
          </c:tx>
          <c:layout>
            <c:manualLayout>
              <c:xMode val="edge"/>
              <c:yMode val="edge"/>
              <c:x val="2.8089887640449437E-2"/>
              <c:y val="0.2175147174399810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176768"/>
        <c:crosses val="autoZero"/>
        <c:crossBetween val="between"/>
      </c:valAx>
      <c:spPr>
        <a:noFill/>
        <a:ln w="12700">
          <a:solidFill>
            <a:srgbClr val="808080"/>
          </a:solidFill>
          <a:prstDash val="solid"/>
        </a:ln>
      </c:spPr>
    </c:plotArea>
    <c:legend>
      <c:legendPos val="r"/>
      <c:layout>
        <c:manualLayout>
          <c:xMode val="edge"/>
          <c:yMode val="edge"/>
          <c:x val="0.26462841341916338"/>
          <c:y val="0.92361044939443326"/>
          <c:w val="0.63306134259943503"/>
          <c:h val="6.1137334711688258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0.98425196850393704" l="0.35433070866141736" r="0.35433070866141736" t="0.98425196850393704" header="0.51181102362204722" footer="0.51181102362204722"/>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da-DK"/>
              <a:t>Natural Gas Costs</a:t>
            </a:r>
          </a:p>
        </c:rich>
      </c:tx>
      <c:layout>
        <c:manualLayout>
          <c:xMode val="edge"/>
          <c:yMode val="edge"/>
          <c:x val="0.37757048593224912"/>
          <c:y val="3.39943342776204E-2"/>
        </c:manualLayout>
      </c:layout>
      <c:overlay val="0"/>
      <c:spPr>
        <a:noFill/>
        <a:ln w="25400">
          <a:noFill/>
        </a:ln>
      </c:spPr>
    </c:title>
    <c:autoTitleDeleted val="0"/>
    <c:plotArea>
      <c:layout>
        <c:manualLayout>
          <c:layoutTarget val="inner"/>
          <c:xMode val="edge"/>
          <c:yMode val="edge"/>
          <c:x val="0.15139080148613709"/>
          <c:y val="0.15580736543909349"/>
          <c:w val="0.82244192570099139"/>
          <c:h val="0.65439093484419264"/>
        </c:manualLayout>
      </c:layout>
      <c:barChart>
        <c:barDir val="col"/>
        <c:grouping val="stacked"/>
        <c:varyColors val="0"/>
        <c:ser>
          <c:idx val="0"/>
          <c:order val="0"/>
          <c:tx>
            <c:strRef>
              <c:f>'Natural Gas'!$AG$8</c:f>
              <c:strCache>
                <c:ptCount val="1"/>
                <c:pt idx="0">
                  <c:v>Units</c:v>
                </c:pt>
              </c:strCache>
            </c:strRef>
          </c:tx>
          <c:spPr>
            <a:solidFill>
              <a:srgbClr val="3366FF"/>
            </a:solidFill>
            <a:ln w="12700">
              <a:solidFill>
                <a:srgbClr val="008080"/>
              </a:solidFill>
              <a:prstDash val="solid"/>
            </a:ln>
          </c:spPr>
          <c:invertIfNegative val="0"/>
          <c:cat>
            <c:strRef>
              <c:f>'Natural Gas'!$B$10:$B$21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'Natural Gas'!$AG$10:$AG$21</c:f>
              <c:numCache>
                <c:formatCode>#,##0</c:formatCode>
                <c:ptCount val="12"/>
                <c:pt idx="0">
                  <c:v>4251.7020204836754</c:v>
                </c:pt>
                <c:pt idx="1">
                  <c:v>5434.3497082192407</c:v>
                </c:pt>
                <c:pt idx="2">
                  <c:v>6973.2112456379491</c:v>
                </c:pt>
                <c:pt idx="3">
                  <c:v>7106.4675032693804</c:v>
                </c:pt>
                <c:pt idx="4">
                  <c:v>11153.149532778491</c:v>
                </c:pt>
                <c:pt idx="5">
                  <c:v>10819.13720463883</c:v>
                </c:pt>
                <c:pt idx="6">
                  <c:v>6301.3670415238967</c:v>
                </c:pt>
                <c:pt idx="7">
                  <c:v>6326.0818906727272</c:v>
                </c:pt>
                <c:pt idx="8">
                  <c:v>6191.4039273107037</c:v>
                </c:pt>
                <c:pt idx="9">
                  <c:v>7043.4777391147281</c:v>
                </c:pt>
                <c:pt idx="10">
                  <c:v>15375.928250689585</c:v>
                </c:pt>
                <c:pt idx="11">
                  <c:v>16741.332140790237</c:v>
                </c:pt>
              </c:numCache>
            </c:numRef>
          </c:val>
          <c:extLst>
            <c:ext xmlns:c16="http://schemas.microsoft.com/office/drawing/2014/chart" uri="{C3380CC4-5D6E-409C-BE32-E72D297353CC}">
              <c16:uniqueId val="{00000000-9B5F-4A00-A8EE-E8A8F9622678}"/>
            </c:ext>
          </c:extLst>
        </c:ser>
        <c:ser>
          <c:idx val="2"/>
          <c:order val="1"/>
          <c:tx>
            <c:strRef>
              <c:f>'Natural Gas'!$AF$8</c:f>
              <c:strCache>
                <c:ptCount val="1"/>
                <c:pt idx="0">
                  <c:v>Standing Charge</c:v>
                </c:pt>
              </c:strCache>
            </c:strRef>
          </c:tx>
          <c:spPr>
            <a:solidFill>
              <a:srgbClr val="FF9900"/>
            </a:solidFill>
            <a:ln w="12700">
              <a:solidFill>
                <a:srgbClr val="FF9900"/>
              </a:solidFill>
              <a:prstDash val="solid"/>
            </a:ln>
          </c:spPr>
          <c:invertIfNegative val="0"/>
          <c:cat>
            <c:strRef>
              <c:f>'Natural Gas'!$B$10:$B$21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'Natural Gas'!$AF$10:$AF$21</c:f>
              <c:numCache>
                <c:formatCode>#,##0</c:formatCode>
                <c:ptCount val="12"/>
                <c:pt idx="0">
                  <c:v>20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9B5F-4A00-A8EE-E8A8F9622678}"/>
            </c:ext>
          </c:extLst>
        </c:ser>
        <c:dLbls>
          <c:showLegendKey val="0"/>
          <c:showVal val="0"/>
          <c:showCatName val="0"/>
          <c:showSerName val="0"/>
          <c:showPercent val="0"/>
          <c:showBubbleSize val="0"/>
        </c:dLbls>
        <c:gapWidth val="150"/>
        <c:overlap val="100"/>
        <c:axId val="50199168"/>
        <c:axId val="50483584"/>
      </c:barChart>
      <c:catAx>
        <c:axId val="50199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483584"/>
        <c:crosses val="autoZero"/>
        <c:auto val="1"/>
        <c:lblAlgn val="ctr"/>
        <c:lblOffset val="100"/>
        <c:tickLblSkip val="1"/>
        <c:tickMarkSkip val="1"/>
        <c:noMultiLvlLbl val="0"/>
      </c:catAx>
      <c:valAx>
        <c:axId val="50483584"/>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da-DK"/>
                  <a:t>Monthly Gas Charge (net VAT)</a:t>
                </a:r>
              </a:p>
            </c:rich>
          </c:tx>
          <c:layout>
            <c:manualLayout>
              <c:xMode val="edge"/>
              <c:yMode val="edge"/>
              <c:x val="2.8037383177570093E-2"/>
              <c:y val="0.2379603399433427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199168"/>
        <c:crosses val="autoZero"/>
        <c:crossBetween val="between"/>
      </c:valAx>
      <c:spPr>
        <a:noFill/>
        <a:ln w="12700">
          <a:solidFill>
            <a:srgbClr val="808080"/>
          </a:solidFill>
          <a:prstDash val="solid"/>
        </a:ln>
      </c:spPr>
    </c:plotArea>
    <c:legend>
      <c:legendPos val="b"/>
      <c:layout>
        <c:manualLayout>
          <c:xMode val="edge"/>
          <c:yMode val="edge"/>
          <c:x val="0.25694267822022104"/>
          <c:y val="0.92125449195491937"/>
          <c:w val="0.63213738448497558"/>
          <c:h val="6.1271082600327181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da-DK"/>
              <a:t>Actual v/s Target Natural Gas Consumption</a:t>
            </a:r>
          </a:p>
        </c:rich>
      </c:tx>
      <c:layout>
        <c:manualLayout>
          <c:xMode val="edge"/>
          <c:yMode val="edge"/>
          <c:x val="0.21973968337756661"/>
          <c:y val="3.39943342776204E-2"/>
        </c:manualLayout>
      </c:layout>
      <c:overlay val="0"/>
      <c:spPr>
        <a:noFill/>
        <a:ln w="25400">
          <a:noFill/>
        </a:ln>
      </c:spPr>
    </c:title>
    <c:autoTitleDeleted val="0"/>
    <c:plotArea>
      <c:layout>
        <c:manualLayout>
          <c:layoutTarget val="inner"/>
          <c:xMode val="edge"/>
          <c:yMode val="edge"/>
          <c:x val="0.18169166383475782"/>
          <c:y val="0.17287198305092311"/>
          <c:w val="0.7790938545234416"/>
          <c:h val="0.61708733190329523"/>
        </c:manualLayout>
      </c:layout>
      <c:scatterChart>
        <c:scatterStyle val="lineMarker"/>
        <c:varyColors val="0"/>
        <c:ser>
          <c:idx val="0"/>
          <c:order val="0"/>
          <c:tx>
            <c:strRef>
              <c:f>'Natural Gas'!$AM$10</c:f>
              <c:strCache>
                <c:ptCount val="1"/>
                <c:pt idx="0">
                  <c:v>Actual (Cumulative)</c:v>
                </c:pt>
              </c:strCache>
            </c:strRef>
          </c:tx>
          <c:spPr>
            <a:ln w="25400">
              <a:solidFill>
                <a:srgbClr val="008080"/>
              </a:solidFill>
              <a:prstDash val="solid"/>
            </a:ln>
          </c:spPr>
          <c:marker>
            <c:symbol val="none"/>
          </c:marker>
          <c:xVal>
            <c:numRef>
              <c:f>'Natural Gas'!$AN$9:$BL$9</c:f>
              <c:numCache>
                <c:formatCode>#,##0</c:formatCode>
                <c:ptCount val="25"/>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'Natural Gas'!$AN$10:$BL$10</c:f>
              <c:numCache>
                <c:formatCode>#,##0</c:formatCode>
                <c:ptCount val="25"/>
                <c:pt idx="0">
                  <c:v>0</c:v>
                </c:pt>
                <c:pt idx="1">
                  <c:v>624712.5</c:v>
                </c:pt>
                <c:pt idx="2">
                  <c:v>624712.5</c:v>
                </c:pt>
                <c:pt idx="3">
                  <c:v>1415801.25</c:v>
                </c:pt>
                <c:pt idx="4">
                  <c:v>1415801.25</c:v>
                </c:pt>
                <c:pt idx="5">
                  <c:v>2321235</c:v>
                </c:pt>
                <c:pt idx="6">
                  <c:v>2321235</c:v>
                </c:pt>
                <c:pt idx="7">
                  <c:v>3240090</c:v>
                </c:pt>
                <c:pt idx="8">
                  <c:v>3240090</c:v>
                </c:pt>
                <c:pt idx="9">
                  <c:v>4688010</c:v>
                </c:pt>
                <c:pt idx="10">
                  <c:v>4688010</c:v>
                </c:pt>
                <c:pt idx="11">
                  <c:v>6128966.25</c:v>
                </c:pt>
                <c:pt idx="12">
                  <c:v>6128966.25</c:v>
                </c:pt>
                <c:pt idx="13">
                  <c:v>6974302.5</c:v>
                </c:pt>
                <c:pt idx="14">
                  <c:v>6974302.5</c:v>
                </c:pt>
                <c:pt idx="15">
                  <c:v>7821888.75</c:v>
                </c:pt>
                <c:pt idx="16">
                  <c:v>7821888.75</c:v>
                </c:pt>
                <c:pt idx="17">
                  <c:v>8654051.25</c:v>
                </c:pt>
                <c:pt idx="18">
                  <c:v>8654051.25</c:v>
                </c:pt>
                <c:pt idx="19">
                  <c:v>9596700</c:v>
                </c:pt>
                <c:pt idx="20">
                  <c:v>9596700</c:v>
                </c:pt>
                <c:pt idx="21">
                  <c:v>10654335</c:v>
                </c:pt>
                <c:pt idx="22">
                  <c:v>10654335</c:v>
                </c:pt>
                <c:pt idx="23">
                  <c:v>11723085</c:v>
                </c:pt>
                <c:pt idx="24">
                  <c:v>11723085</c:v>
                </c:pt>
              </c:numCache>
            </c:numRef>
          </c:yVal>
          <c:smooth val="0"/>
          <c:extLst>
            <c:ext xmlns:c16="http://schemas.microsoft.com/office/drawing/2014/chart" uri="{C3380CC4-5D6E-409C-BE32-E72D297353CC}">
              <c16:uniqueId val="{00000000-2D13-4136-B4FF-70157F150BE8}"/>
            </c:ext>
          </c:extLst>
        </c:ser>
        <c:ser>
          <c:idx val="1"/>
          <c:order val="1"/>
          <c:tx>
            <c:strRef>
              <c:f>'Natural Gas'!$AM$11</c:f>
              <c:strCache>
                <c:ptCount val="1"/>
                <c:pt idx="0">
                  <c:v>Target (Cumulative)</c:v>
                </c:pt>
              </c:strCache>
            </c:strRef>
          </c:tx>
          <c:spPr>
            <a:ln w="25400">
              <a:solidFill>
                <a:srgbClr val="993366"/>
              </a:solidFill>
              <a:prstDash val="sysDash"/>
            </a:ln>
          </c:spPr>
          <c:marker>
            <c:symbol val="none"/>
          </c:marker>
          <c:xVal>
            <c:numRef>
              <c:f>'Natural Gas'!$AN$9:$BL$9</c:f>
              <c:numCache>
                <c:formatCode>#,##0</c:formatCode>
                <c:ptCount val="25"/>
                <c:pt idx="0">
                  <c:v>1</c:v>
                </c:pt>
                <c:pt idx="1">
                  <c:v>1</c:v>
                </c:pt>
                <c:pt idx="2">
                  <c:v>2</c:v>
                </c:pt>
                <c:pt idx="3">
                  <c:v>2</c:v>
                </c:pt>
                <c:pt idx="4">
                  <c:v>3</c:v>
                </c:pt>
                <c:pt idx="5">
                  <c:v>3</c:v>
                </c:pt>
                <c:pt idx="6">
                  <c:v>4</c:v>
                </c:pt>
                <c:pt idx="7">
                  <c:v>4</c:v>
                </c:pt>
                <c:pt idx="8">
                  <c:v>5</c:v>
                </c:pt>
                <c:pt idx="9">
                  <c:v>5</c:v>
                </c:pt>
                <c:pt idx="10">
                  <c:v>6</c:v>
                </c:pt>
                <c:pt idx="11">
                  <c:v>6</c:v>
                </c:pt>
                <c:pt idx="12">
                  <c:v>7</c:v>
                </c:pt>
                <c:pt idx="13">
                  <c:v>7</c:v>
                </c:pt>
                <c:pt idx="14">
                  <c:v>8</c:v>
                </c:pt>
                <c:pt idx="15">
                  <c:v>8</c:v>
                </c:pt>
                <c:pt idx="16">
                  <c:v>9</c:v>
                </c:pt>
                <c:pt idx="17">
                  <c:v>9</c:v>
                </c:pt>
                <c:pt idx="18">
                  <c:v>10</c:v>
                </c:pt>
                <c:pt idx="19">
                  <c:v>10</c:v>
                </c:pt>
                <c:pt idx="20">
                  <c:v>11</c:v>
                </c:pt>
                <c:pt idx="21">
                  <c:v>11</c:v>
                </c:pt>
                <c:pt idx="22">
                  <c:v>12</c:v>
                </c:pt>
                <c:pt idx="23">
                  <c:v>12</c:v>
                </c:pt>
                <c:pt idx="24">
                  <c:v>13</c:v>
                </c:pt>
              </c:numCache>
            </c:numRef>
          </c:xVal>
          <c:yVal>
            <c:numRef>
              <c:f>'Natural Gas'!$AN$11:$BL$11</c:f>
              <c:numCache>
                <c:formatCode>#,##0</c:formatCode>
                <c:ptCount val="25"/>
                <c:pt idx="0">
                  <c:v>0</c:v>
                </c:pt>
                <c:pt idx="1">
                  <c:v>888112.49999999988</c:v>
                </c:pt>
                <c:pt idx="2">
                  <c:v>888112.49999999988</c:v>
                </c:pt>
                <c:pt idx="3">
                  <c:v>1776224.9999999998</c:v>
                </c:pt>
                <c:pt idx="4">
                  <c:v>1776224.9999999998</c:v>
                </c:pt>
                <c:pt idx="5">
                  <c:v>2664337.4999999995</c:v>
                </c:pt>
                <c:pt idx="6">
                  <c:v>2664337.4999999995</c:v>
                </c:pt>
                <c:pt idx="7">
                  <c:v>3552449.9999999995</c:v>
                </c:pt>
                <c:pt idx="8">
                  <c:v>3552449.9999999995</c:v>
                </c:pt>
                <c:pt idx="9">
                  <c:v>4440562.4999999991</c:v>
                </c:pt>
                <c:pt idx="10">
                  <c:v>4440562.4999999991</c:v>
                </c:pt>
                <c:pt idx="11">
                  <c:v>5328674.9999999991</c:v>
                </c:pt>
                <c:pt idx="12">
                  <c:v>5328674.9999999991</c:v>
                </c:pt>
                <c:pt idx="13">
                  <c:v>6216787.4999999991</c:v>
                </c:pt>
                <c:pt idx="14">
                  <c:v>6216787.4999999991</c:v>
                </c:pt>
                <c:pt idx="15">
                  <c:v>7104899.9999999991</c:v>
                </c:pt>
                <c:pt idx="16">
                  <c:v>7104899.9999999991</c:v>
                </c:pt>
                <c:pt idx="17">
                  <c:v>7993012.4999999991</c:v>
                </c:pt>
                <c:pt idx="18">
                  <c:v>7993012.4999999991</c:v>
                </c:pt>
                <c:pt idx="19">
                  <c:v>8881124.9999999981</c:v>
                </c:pt>
                <c:pt idx="20">
                  <c:v>8881124.9999999981</c:v>
                </c:pt>
                <c:pt idx="21">
                  <c:v>9769237.4999999981</c:v>
                </c:pt>
                <c:pt idx="22">
                  <c:v>9769237.4999999981</c:v>
                </c:pt>
                <c:pt idx="23">
                  <c:v>10657349.999999998</c:v>
                </c:pt>
                <c:pt idx="24">
                  <c:v>10657349.999999998</c:v>
                </c:pt>
              </c:numCache>
            </c:numRef>
          </c:yVal>
          <c:smooth val="0"/>
          <c:extLst>
            <c:ext xmlns:c16="http://schemas.microsoft.com/office/drawing/2014/chart" uri="{C3380CC4-5D6E-409C-BE32-E72D297353CC}">
              <c16:uniqueId val="{00000001-2D13-4136-B4FF-70157F150BE8}"/>
            </c:ext>
          </c:extLst>
        </c:ser>
        <c:dLbls>
          <c:showLegendKey val="0"/>
          <c:showVal val="0"/>
          <c:showCatName val="0"/>
          <c:showSerName val="0"/>
          <c:showPercent val="0"/>
          <c:showBubbleSize val="0"/>
        </c:dLbls>
        <c:axId val="50792704"/>
        <c:axId val="50794880"/>
      </c:scatterChart>
      <c:valAx>
        <c:axId val="50792704"/>
        <c:scaling>
          <c:orientation val="minMax"/>
          <c:max val="13"/>
          <c:min val="0"/>
        </c:scaling>
        <c:delete val="0"/>
        <c:axPos val="b"/>
        <c:title>
          <c:tx>
            <c:rich>
              <a:bodyPr/>
              <a:lstStyle/>
              <a:p>
                <a:pPr>
                  <a:defRPr sz="875" b="1" i="0" u="none" strike="noStrike" baseline="0">
                    <a:solidFill>
                      <a:srgbClr val="000000"/>
                    </a:solidFill>
                    <a:latin typeface="Arial"/>
                    <a:ea typeface="Arial"/>
                    <a:cs typeface="Arial"/>
                  </a:defRPr>
                </a:pPr>
                <a:r>
                  <a:rPr lang="da-DK"/>
                  <a:t>Month</a:t>
                </a:r>
              </a:p>
            </c:rich>
          </c:tx>
          <c:layout>
            <c:manualLayout>
              <c:xMode val="edge"/>
              <c:yMode val="edge"/>
              <c:x val="0.53817602408637466"/>
              <c:y val="0.85552407932011332"/>
            </c:manualLayout>
          </c:layout>
          <c:overlay val="0"/>
          <c:spPr>
            <a:noFill/>
            <a:ln w="25400">
              <a:noFill/>
            </a:ln>
          </c:spPr>
        </c:title>
        <c:numFmt formatCode="@"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794880"/>
        <c:crosses val="autoZero"/>
        <c:crossBetween val="midCat"/>
        <c:majorUnit val="2"/>
      </c:valAx>
      <c:valAx>
        <c:axId val="50794880"/>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da-DK"/>
                  <a:t>Cumulative Gas Consumption [kWh]</a:t>
                </a:r>
              </a:p>
            </c:rich>
          </c:tx>
          <c:layout>
            <c:manualLayout>
              <c:xMode val="edge"/>
              <c:yMode val="edge"/>
              <c:x val="2.6070763500931099E-2"/>
              <c:y val="0.2294617563739376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0792704"/>
        <c:crosses val="autoZero"/>
        <c:crossBetween val="midCat"/>
      </c:valAx>
      <c:spPr>
        <a:noFill/>
        <a:ln w="12700">
          <a:solidFill>
            <a:srgbClr val="808080"/>
          </a:solidFill>
          <a:prstDash val="solid"/>
        </a:ln>
      </c:spPr>
    </c:plotArea>
    <c:legend>
      <c:legendPos val="r"/>
      <c:layout>
        <c:manualLayout>
          <c:xMode val="edge"/>
          <c:yMode val="edge"/>
          <c:x val="0.27035719578611966"/>
          <c:y val="0.92563099785494285"/>
          <c:w val="0.63228699014495726"/>
          <c:h val="6.345933555033886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0.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chart" Target="../charts/chart42.xml"/><Relationship Id="rId5" Type="http://schemas.openxmlformats.org/officeDocument/2006/relationships/chart" Target="../charts/chart46.xml"/><Relationship Id="rId4" Type="http://schemas.openxmlformats.org/officeDocument/2006/relationships/chart" Target="../charts/chart45.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chart" Target="../charts/chart47.xml"/><Relationship Id="rId5" Type="http://schemas.openxmlformats.org/officeDocument/2006/relationships/chart" Target="../charts/chart51.xml"/><Relationship Id="rId4" Type="http://schemas.openxmlformats.org/officeDocument/2006/relationships/chart" Target="../charts/chart5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chart" Target="../charts/chart34.xml"/><Relationship Id="rId5" Type="http://schemas.openxmlformats.org/officeDocument/2006/relationships/chart" Target="../charts/chart33.xml"/><Relationship Id="rId4" Type="http://schemas.openxmlformats.org/officeDocument/2006/relationships/chart" Target="../charts/chart3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7.xml"/><Relationship Id="rId7" Type="http://schemas.openxmlformats.org/officeDocument/2006/relationships/chart" Target="../charts/chart41.xml"/><Relationship Id="rId2" Type="http://schemas.openxmlformats.org/officeDocument/2006/relationships/chart" Target="../charts/chart36.xml"/><Relationship Id="rId1" Type="http://schemas.openxmlformats.org/officeDocument/2006/relationships/chart" Target="../charts/chart35.xml"/><Relationship Id="rId6" Type="http://schemas.openxmlformats.org/officeDocument/2006/relationships/chart" Target="../charts/chart40.xml"/><Relationship Id="rId5" Type="http://schemas.openxmlformats.org/officeDocument/2006/relationships/chart" Target="../charts/chart39.xml"/><Relationship Id="rId4" Type="http://schemas.openxmlformats.org/officeDocument/2006/relationships/chart" Target="../charts/chart38.xml"/></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76200</xdr:rowOff>
    </xdr:from>
    <xdr:to>
      <xdr:col>9</xdr:col>
      <xdr:colOff>554358</xdr:colOff>
      <xdr:row>78</xdr:row>
      <xdr:rowOff>144780</xdr:rowOff>
    </xdr:to>
    <xdr:sp macro="" textlink="">
      <xdr:nvSpPr>
        <xdr:cNvPr id="2" name="Text Box 1">
          <a:extLst>
            <a:ext uri="{FF2B5EF4-FFF2-40B4-BE49-F238E27FC236}">
              <a16:creationId xmlns:a16="http://schemas.microsoft.com/office/drawing/2014/main" id="{96705605-C438-43AD-AADE-5D6574F4B1F0}"/>
            </a:ext>
          </a:extLst>
        </xdr:cNvPr>
        <xdr:cNvSpPr txBox="1">
          <a:spLocks noChangeArrowheads="1"/>
        </xdr:cNvSpPr>
      </xdr:nvSpPr>
      <xdr:spPr bwMode="auto">
        <a:xfrm>
          <a:off x="22860" y="76200"/>
          <a:ext cx="6017898" cy="1269873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900" b="1" i="0" u="none" strike="noStrike" baseline="0">
              <a:solidFill>
                <a:srgbClr val="000000"/>
              </a:solidFill>
              <a:latin typeface="Calibri"/>
            </a:rPr>
            <a:t>INSTRUCTIONS FOR USING THE BASIC GHG CALCULATOR</a:t>
          </a:r>
        </a:p>
        <a:p>
          <a:pPr algn="l" rtl="0">
            <a:defRPr sz="1000"/>
          </a:pPr>
          <a:endParaRPr lang="en-US" sz="900" b="1" i="0" u="none" strike="noStrike" baseline="0">
            <a:solidFill>
              <a:srgbClr val="000000"/>
            </a:solidFill>
            <a:latin typeface="Calibri"/>
          </a:endParaRPr>
        </a:p>
        <a:p>
          <a:pPr algn="l" rtl="0">
            <a:defRPr sz="1000"/>
          </a:pPr>
          <a:r>
            <a:rPr lang="en-US" sz="900" b="1" i="0" u="sng" strike="noStrike" baseline="0">
              <a:solidFill>
                <a:srgbClr val="000000"/>
              </a:solidFill>
              <a:latin typeface="Calibri"/>
            </a:rPr>
            <a:t>1. About the tool </a:t>
          </a:r>
          <a:endParaRPr lang="en-US" sz="900" b="1"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The BASIC GHG Calculator is a very basic calculator for calculating carbon dioxide eq. emissions from energy use and processes. More detailed and specific tools and guidelines are available from, for example, the Greenhouse Gas Protocol (www.ghgprotocol.org). Guidance on calculating GHG emissions can also be found in section 3 of the Primer.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1" i="0" u="sng" strike="noStrike" baseline="0">
              <a:solidFill>
                <a:srgbClr val="000000"/>
              </a:solidFill>
              <a:latin typeface="Calibri"/>
            </a:rPr>
            <a:t>2. About GHG in industries</a:t>
          </a:r>
          <a:r>
            <a:rPr lang="en-US" sz="900" b="1" i="0" u="none" strike="noStrike" baseline="0">
              <a:solidFill>
                <a:srgbClr val="000000"/>
              </a:solidFill>
              <a:latin typeface="Calibri"/>
            </a:rPr>
            <a:t> </a:t>
          </a:r>
        </a:p>
        <a:p>
          <a:pPr algn="l" rtl="0">
            <a:defRPr sz="1000"/>
          </a:pPr>
          <a:r>
            <a:rPr lang="en-US" sz="900" b="0" i="0" u="none" strike="noStrike" baseline="0">
              <a:solidFill>
                <a:srgbClr val="000000"/>
              </a:solidFill>
              <a:latin typeface="Calibri"/>
            </a:rPr>
            <a:t>Typical sources include: </a:t>
          </a:r>
          <a:endParaRPr lang="en-US" sz="900" b="1" i="0" u="none" strike="noStrike" baseline="0">
            <a:solidFill>
              <a:srgbClr val="000000"/>
            </a:solidFill>
            <a:latin typeface="Calibri"/>
          </a:endParaRPr>
        </a:p>
        <a:p>
          <a:pPr algn="l" rtl="0">
            <a:defRPr sz="1000"/>
          </a:pPr>
          <a:r>
            <a:rPr lang="en-US" sz="900" b="1" i="0" u="none" strike="noStrike" baseline="0">
              <a:solidFill>
                <a:srgbClr val="000000"/>
              </a:solidFill>
              <a:latin typeface="Calibri"/>
            </a:rPr>
            <a:t>C02</a:t>
          </a:r>
        </a:p>
        <a:p>
          <a:pPr algn="l" rtl="0">
            <a:defRPr sz="1000"/>
          </a:pPr>
          <a:r>
            <a:rPr lang="en-US" sz="900" b="0" i="0" u="none" strike="noStrike" baseline="0">
              <a:solidFill>
                <a:srgbClr val="000000"/>
              </a:solidFill>
              <a:latin typeface="Calibri"/>
            </a:rPr>
            <a:t>- production of lime and cement (calcination process)</a:t>
          </a:r>
        </a:p>
        <a:p>
          <a:pPr algn="l" rtl="0">
            <a:defRPr sz="1000"/>
          </a:pPr>
          <a:r>
            <a:rPr lang="en-US" sz="900" b="0" i="0" u="none" strike="noStrike" baseline="0">
              <a:solidFill>
                <a:srgbClr val="000000"/>
              </a:solidFill>
              <a:latin typeface="Calibri"/>
            </a:rPr>
            <a:t>- production of steel (coke and pig-iron production) </a:t>
          </a:r>
        </a:p>
        <a:p>
          <a:pPr algn="l" rtl="0">
            <a:defRPr sz="1000"/>
          </a:pPr>
          <a:r>
            <a:rPr lang="en-US" sz="900" b="0" i="0" u="none" strike="noStrike" baseline="0">
              <a:solidFill>
                <a:srgbClr val="000000"/>
              </a:solidFill>
              <a:latin typeface="Calibri"/>
            </a:rPr>
            <a:t>- production of aluminum (oxidation of elecrodes)</a:t>
          </a:r>
        </a:p>
        <a:p>
          <a:pPr algn="l" rtl="0">
            <a:defRPr sz="1000"/>
          </a:pPr>
          <a:r>
            <a:rPr lang="en-US" sz="900" b="0" i="0" u="none" strike="noStrike" baseline="0">
              <a:solidFill>
                <a:srgbClr val="000000"/>
              </a:solidFill>
              <a:latin typeface="Calibri"/>
            </a:rPr>
            <a:t>- production of hydrogen (refineries and chemical industry) </a:t>
          </a:r>
        </a:p>
        <a:p>
          <a:pPr algn="l" rtl="0">
            <a:defRPr sz="1000"/>
          </a:pPr>
          <a:r>
            <a:rPr lang="en-US" sz="900" b="0" i="0" u="none" strike="noStrike" baseline="0">
              <a:solidFill>
                <a:srgbClr val="000000"/>
              </a:solidFill>
              <a:latin typeface="Calibri"/>
            </a:rPr>
            <a:t>- production of ammonia (fertilizers and chemicals)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1" i="0" u="none" strike="noStrike" baseline="0">
              <a:solidFill>
                <a:srgbClr val="000000"/>
              </a:solidFill>
              <a:latin typeface="Calibri"/>
            </a:rPr>
            <a:t>CFCs, HFCs and hydroflourocarbons (HCFCs) </a:t>
          </a:r>
        </a:p>
        <a:p>
          <a:pPr algn="l" rtl="0">
            <a:defRPr sz="1000"/>
          </a:pPr>
          <a:r>
            <a:rPr lang="en-US" sz="900" b="0" i="0" u="none" strike="noStrike" baseline="0">
              <a:solidFill>
                <a:srgbClr val="000000"/>
              </a:solidFill>
              <a:latin typeface="Calibri"/>
            </a:rPr>
            <a:t>- production and use of solvents</a:t>
          </a:r>
        </a:p>
        <a:p>
          <a:pPr algn="l" rtl="0">
            <a:defRPr sz="1000"/>
          </a:pPr>
          <a:r>
            <a:rPr lang="en-US" sz="900" b="0" i="0" u="none" strike="noStrike" baseline="0">
              <a:solidFill>
                <a:srgbClr val="000000"/>
              </a:solidFill>
              <a:latin typeface="Calibri"/>
            </a:rPr>
            <a:t>- production and use of aerosol propellants</a:t>
          </a:r>
        </a:p>
        <a:p>
          <a:pPr algn="l" rtl="0">
            <a:defRPr sz="1000"/>
          </a:pPr>
          <a:r>
            <a:rPr lang="en-US" sz="900" b="0" i="0" u="none" strike="noStrike" baseline="0">
              <a:solidFill>
                <a:srgbClr val="000000"/>
              </a:solidFill>
              <a:latin typeface="Calibri"/>
            </a:rPr>
            <a:t>- production and use of foam expanders</a:t>
          </a:r>
        </a:p>
        <a:p>
          <a:pPr algn="l" rtl="0">
            <a:defRPr sz="1000"/>
          </a:pPr>
          <a:r>
            <a:rPr lang="en-US" sz="900" b="0" i="0" u="none" strike="noStrike" baseline="0">
              <a:solidFill>
                <a:srgbClr val="000000"/>
              </a:solidFill>
              <a:latin typeface="Calibri"/>
            </a:rPr>
            <a:t>- production and use of refrigerants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1" i="0" u="none" strike="noStrike" baseline="0">
              <a:solidFill>
                <a:srgbClr val="000000"/>
              </a:solidFill>
              <a:latin typeface="Calibri"/>
            </a:rPr>
            <a:t>CH4</a:t>
          </a:r>
        </a:p>
        <a:p>
          <a:pPr algn="l" rtl="0">
            <a:defRPr sz="1000"/>
          </a:pPr>
          <a:r>
            <a:rPr lang="en-US" sz="900" b="0" i="0" u="none" strike="noStrike" baseline="0">
              <a:solidFill>
                <a:srgbClr val="000000"/>
              </a:solidFill>
              <a:latin typeface="Calibri"/>
            </a:rPr>
            <a:t>- production of iron and steel</a:t>
          </a:r>
        </a:p>
        <a:p>
          <a:pPr algn="l" rtl="0">
            <a:defRPr sz="1000"/>
          </a:pPr>
          <a:r>
            <a:rPr lang="en-US" sz="900" b="0" i="0" u="none" strike="noStrike" baseline="0">
              <a:solidFill>
                <a:srgbClr val="000000"/>
              </a:solidFill>
              <a:latin typeface="Calibri"/>
            </a:rPr>
            <a:t>- refining oil</a:t>
          </a:r>
        </a:p>
        <a:p>
          <a:pPr algn="l" rtl="0">
            <a:defRPr sz="1000"/>
          </a:pPr>
          <a:r>
            <a:rPr lang="en-US" sz="900" b="0" i="0" u="none" strike="noStrike" baseline="0">
              <a:solidFill>
                <a:srgbClr val="000000"/>
              </a:solidFill>
              <a:latin typeface="Calibri"/>
            </a:rPr>
            <a:t>- production of ammonia </a:t>
          </a:r>
        </a:p>
        <a:p>
          <a:pPr algn="l" rtl="0">
            <a:defRPr sz="1000"/>
          </a:pPr>
          <a:r>
            <a:rPr lang="en-US" sz="900" b="0" i="0" u="none" strike="noStrike" baseline="0">
              <a:solidFill>
                <a:srgbClr val="000000"/>
              </a:solidFill>
              <a:latin typeface="Calibri"/>
            </a:rPr>
            <a:t>- production of hydrogen </a:t>
          </a:r>
        </a:p>
        <a:p>
          <a:pPr algn="l" rtl="0">
            <a:defRPr sz="1000"/>
          </a:pPr>
          <a:r>
            <a:rPr lang="en-US" sz="900" b="0" i="0" u="none" strike="noStrike" baseline="0">
              <a:solidFill>
                <a:srgbClr val="000000"/>
              </a:solidFill>
              <a:latin typeface="Calibri"/>
            </a:rPr>
            <a:t>- agriculture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1" i="0" u="none" strike="noStrike" baseline="0">
              <a:solidFill>
                <a:srgbClr val="000000"/>
              </a:solidFill>
              <a:latin typeface="Calibri"/>
            </a:rPr>
            <a:t>N20</a:t>
          </a:r>
        </a:p>
        <a:p>
          <a:pPr algn="l" rtl="0">
            <a:defRPr sz="1000"/>
          </a:pPr>
          <a:r>
            <a:rPr lang="en-US" sz="900" b="0" i="0" u="none" strike="noStrike" baseline="0">
              <a:solidFill>
                <a:srgbClr val="000000"/>
              </a:solidFill>
              <a:latin typeface="Calibri"/>
            </a:rPr>
            <a:t>- production of nitric acid </a:t>
          </a:r>
        </a:p>
        <a:p>
          <a:pPr algn="l" rtl="0">
            <a:defRPr sz="1000"/>
          </a:pPr>
          <a:r>
            <a:rPr lang="en-US" sz="900" b="0" i="0" u="none" strike="noStrike" baseline="0">
              <a:solidFill>
                <a:srgbClr val="000000"/>
              </a:solidFill>
              <a:latin typeface="Calibri"/>
            </a:rPr>
            <a:t>- production of adipic acid (for e.g. nylon)</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1" i="0" u="none" strike="noStrike" baseline="0">
              <a:solidFill>
                <a:srgbClr val="000000"/>
              </a:solidFill>
              <a:latin typeface="Calibri"/>
            </a:rPr>
            <a:t>PFCs</a:t>
          </a:r>
        </a:p>
        <a:p>
          <a:pPr algn="l" rtl="0">
            <a:defRPr sz="1000"/>
          </a:pPr>
          <a:r>
            <a:rPr lang="en-US" sz="900" b="0" i="0" u="none" strike="noStrike" baseline="0">
              <a:solidFill>
                <a:srgbClr val="000000"/>
              </a:solidFill>
              <a:latin typeface="Calibri"/>
            </a:rPr>
            <a:t>- production of aluminum (electrolysis)</a:t>
          </a:r>
        </a:p>
        <a:p>
          <a:pPr algn="l" rtl="0">
            <a:defRPr sz="1000"/>
          </a:pPr>
          <a:r>
            <a:rPr lang="en-US" sz="900" b="0" i="0" u="none" strike="noStrike" baseline="0">
              <a:solidFill>
                <a:srgbClr val="000000"/>
              </a:solidFill>
              <a:latin typeface="Calibri"/>
            </a:rPr>
            <a:t>- production of semiconductors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1" i="0" u="none" strike="noStrike" baseline="0">
              <a:solidFill>
                <a:srgbClr val="000000"/>
              </a:solidFill>
              <a:latin typeface="Calibri"/>
            </a:rPr>
            <a:t>SF6</a:t>
          </a:r>
        </a:p>
        <a:p>
          <a:pPr algn="l" rtl="0">
            <a:defRPr sz="1000"/>
          </a:pPr>
          <a:r>
            <a:rPr lang="en-US" sz="900" b="0" i="0" u="none" strike="noStrike" baseline="0">
              <a:solidFill>
                <a:srgbClr val="000000"/>
              </a:solidFill>
              <a:latin typeface="Calibri"/>
            </a:rPr>
            <a:t>- magnesium production </a:t>
          </a:r>
        </a:p>
        <a:p>
          <a:pPr algn="l" rtl="0">
            <a:defRPr sz="1000"/>
          </a:pPr>
          <a:r>
            <a:rPr lang="en-US" sz="900" b="0" i="0" u="none" strike="noStrike" baseline="0">
              <a:solidFill>
                <a:srgbClr val="000000"/>
              </a:solidFill>
              <a:latin typeface="Calibri"/>
            </a:rPr>
            <a:t>- electronics industry (e.g. production of semiconductors)</a:t>
          </a:r>
        </a:p>
        <a:p>
          <a:pPr algn="l" rtl="0">
            <a:defRPr sz="1000"/>
          </a:pPr>
          <a:endParaRPr lang="en-US" sz="900" b="0"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This is not an exclusive list, consult sector specific guidelines to find out about the emissions from your processes.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1" i="0" u="sng" strike="noStrike" baseline="0">
              <a:solidFill>
                <a:srgbClr val="000000"/>
              </a:solidFill>
              <a:latin typeface="Calibri"/>
            </a:rPr>
            <a:t>3. How to use the calculator </a:t>
          </a:r>
          <a:endParaRPr lang="en-US" sz="900" b="1"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The calculator will calculate tons CO2 eq. from: </a:t>
          </a:r>
        </a:p>
        <a:p>
          <a:pPr algn="l" rtl="0">
            <a:defRPr sz="1000"/>
          </a:pPr>
          <a:r>
            <a:rPr lang="en-US" sz="900" b="0" i="0" u="none" strike="noStrike" baseline="0">
              <a:solidFill>
                <a:srgbClr val="000000"/>
              </a:solidFill>
              <a:latin typeface="Calibri"/>
            </a:rPr>
            <a:t>- imported electricity </a:t>
          </a:r>
        </a:p>
        <a:p>
          <a:pPr algn="l" rtl="0">
            <a:defRPr sz="1000"/>
          </a:pPr>
          <a:r>
            <a:rPr lang="en-US" sz="900" b="0" i="0" u="none" strike="noStrike" baseline="0">
              <a:solidFill>
                <a:srgbClr val="000000"/>
              </a:solidFill>
              <a:latin typeface="Calibri"/>
            </a:rPr>
            <a:t>- imported district heating/cooling </a:t>
          </a:r>
        </a:p>
        <a:p>
          <a:pPr algn="l" rtl="0">
            <a:defRPr sz="1000"/>
          </a:pPr>
          <a:r>
            <a:rPr lang="en-US" sz="900" b="0" i="0" u="none" strike="noStrike" baseline="0">
              <a:solidFill>
                <a:srgbClr val="000000"/>
              </a:solidFill>
              <a:latin typeface="Calibri"/>
            </a:rPr>
            <a:t>- imported steam </a:t>
          </a:r>
        </a:p>
        <a:p>
          <a:pPr algn="l" rtl="0">
            <a:defRPr sz="1000"/>
          </a:pPr>
          <a:r>
            <a:rPr lang="en-US" sz="900" b="0" i="0" u="none" strike="noStrike" baseline="0">
              <a:solidFill>
                <a:srgbClr val="000000"/>
              </a:solidFill>
              <a:latin typeface="Calibri"/>
            </a:rPr>
            <a:t>- fuel combustion </a:t>
          </a:r>
        </a:p>
        <a:p>
          <a:pPr algn="l" rtl="0">
            <a:defRPr sz="1000"/>
          </a:pPr>
          <a:r>
            <a:rPr lang="en-US" sz="900" b="0" i="0" u="none" strike="noStrike" baseline="0">
              <a:solidFill>
                <a:srgbClr val="000000"/>
              </a:solidFill>
              <a:latin typeface="Calibri"/>
            </a:rPr>
            <a:t>- processes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The subtotals are then calculated into a total that you can enter into to RECP Indicator Calculation Tool. Simply fill in the cells that are relevant to your business and leave the other cells empty. </a:t>
          </a:r>
        </a:p>
        <a:p>
          <a:pPr algn="l" rtl="0">
            <a:defRPr sz="1000"/>
          </a:pPr>
          <a:endParaRPr lang="en-US" sz="900" b="0"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In</a:t>
          </a:r>
          <a:r>
            <a:rPr lang="en-US" sz="900" b="1" i="0" u="none" strike="noStrike" baseline="0">
              <a:solidFill>
                <a:srgbClr val="000000"/>
              </a:solidFill>
              <a:latin typeface="Calibri"/>
            </a:rPr>
            <a:t> Electricity use (1) </a:t>
          </a:r>
          <a:r>
            <a:rPr lang="en-US" sz="900" b="0" i="0" u="none" strike="noStrike" baseline="0">
              <a:solidFill>
                <a:srgbClr val="000000"/>
              </a:solidFill>
              <a:latin typeface="Calibri"/>
            </a:rPr>
            <a:t>enter your values in kWh or in MJ (in the respective cell) and enter a conversion factor. You can use the country or regional conversion factors from the sheet "CO2 from electricity" or you can enter a specific factor that you have gotten from your suppliers or other sources. Country and regional values are based on averages; specific factors will give you better accuracy. </a:t>
          </a:r>
        </a:p>
        <a:p>
          <a:pPr algn="l" rtl="0">
            <a:defRPr sz="1000"/>
          </a:pPr>
          <a:endParaRPr lang="en-US" sz="900" b="0"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In </a:t>
          </a:r>
          <a:r>
            <a:rPr lang="en-US" sz="900" b="1" i="0" u="none" strike="noStrike" baseline="0">
              <a:solidFill>
                <a:srgbClr val="000000"/>
              </a:solidFill>
              <a:latin typeface="Calibri"/>
            </a:rPr>
            <a:t>District heating/cooling (2) </a:t>
          </a:r>
          <a:r>
            <a:rPr lang="en-US" sz="900" b="0" i="0" u="none" strike="noStrike" baseline="0">
              <a:solidFill>
                <a:srgbClr val="000000"/>
              </a:solidFill>
              <a:latin typeface="Calibri"/>
            </a:rPr>
            <a:t>enter type (this could be e.g. heating, cooling, hot water), unit, conversion factor and use (quantity). You should be able to get conversion factors from your supplier. Make sure that the conversion factors correspond to the units you are using, otherwise re-calculate them. </a:t>
          </a:r>
        </a:p>
        <a:p>
          <a:pPr algn="l" rtl="0">
            <a:defRPr sz="1000"/>
          </a:pPr>
          <a:endParaRPr lang="en-US" sz="900" b="0"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In </a:t>
          </a:r>
          <a:r>
            <a:rPr lang="en-US" sz="900" b="1" i="0" u="none" strike="noStrike" baseline="0">
              <a:solidFill>
                <a:srgbClr val="000000"/>
              </a:solidFill>
              <a:latin typeface="Calibri"/>
            </a:rPr>
            <a:t>Steam (3)</a:t>
          </a:r>
          <a:r>
            <a:rPr lang="en-US" sz="900" b="0" i="0" u="none" strike="noStrike" baseline="0">
              <a:solidFill>
                <a:srgbClr val="000000"/>
              </a:solidFill>
              <a:latin typeface="Calibri"/>
            </a:rPr>
            <a:t> enter unit, conversion factor and use (quantity). You should be able to get a conversion factor from your supplier. Make sure that the conversion factor corresponds to the units that you are using.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In </a:t>
          </a:r>
          <a:r>
            <a:rPr lang="en-US" sz="900" b="1" i="0" u="none" strike="noStrike" baseline="0">
              <a:solidFill>
                <a:srgbClr val="000000"/>
              </a:solidFill>
              <a:latin typeface="Calibri"/>
            </a:rPr>
            <a:t>Fuel Combustion (4) </a:t>
          </a:r>
          <a:r>
            <a:rPr lang="en-US" sz="900" b="0" i="0" u="none" strike="noStrike" baseline="0">
              <a:solidFill>
                <a:srgbClr val="000000"/>
              </a:solidFill>
              <a:latin typeface="Calibri"/>
            </a:rPr>
            <a:t>enter use in kWh or MJ (you will already have had to calculate your fuel use into kWh or MJ for use in the RECP Indicator Calculation Tool, see section 3 in the Primer for guidance). If you are using other fuels that are not in the list then enter these in the rows entitled "Other" (you will also have to include C02 conversion factors for these fuels). If you need more rows unlock the calculator and enter extra rows (see the RECP Indicator Calculation Tool instructions for how to do this). </a:t>
          </a:r>
        </a:p>
        <a:p>
          <a:pPr algn="l" rtl="0">
            <a:defRPr sz="1000"/>
          </a:pPr>
          <a:endParaRPr lang="en-US" sz="900" b="0"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In </a:t>
          </a:r>
          <a:r>
            <a:rPr lang="en-US" sz="900" b="1" i="0" u="none" strike="noStrike" baseline="0">
              <a:solidFill>
                <a:srgbClr val="000000"/>
              </a:solidFill>
              <a:latin typeface="Calibri"/>
            </a:rPr>
            <a:t>Process related CO2 (5)</a:t>
          </a:r>
          <a:r>
            <a:rPr lang="en-US" sz="900" b="0" i="0" u="none" strike="noStrike" baseline="0">
              <a:solidFill>
                <a:srgbClr val="000000"/>
              </a:solidFill>
              <a:latin typeface="Calibri"/>
            </a:rPr>
            <a:t> enter the quantity of gas of in tons. If you are giving rise to other GHG that are not on the list, enter them in the row entitled "Other", you also will need a conversion factor. </a:t>
          </a:r>
        </a:p>
        <a:p>
          <a:pPr algn="l" rtl="0">
            <a:defRPr sz="1000"/>
          </a:pPr>
          <a:endParaRPr lang="en-US" sz="900" b="0" i="0" u="none" strike="noStrike" baseline="0">
            <a:solidFill>
              <a:srgbClr val="000000"/>
            </a:solidFill>
            <a:latin typeface="Calibri"/>
          </a:endParaRPr>
        </a:p>
        <a:p>
          <a:pPr algn="l" rtl="0">
            <a:defRPr sz="1000"/>
          </a:pPr>
          <a:r>
            <a:rPr lang="en-US" sz="900" b="0" i="0" u="none" strike="noStrike" baseline="0">
              <a:solidFill>
                <a:srgbClr val="000000"/>
              </a:solidFill>
              <a:latin typeface="Calibri"/>
            </a:rPr>
            <a:t>Conversion factors are available from e.g. the Greenhouse Gas Protocol (www.ghgprotocol.org) or IPCC (www.ipcc.ch). </a:t>
          </a:r>
          <a:endParaRPr lang="en-US" sz="900" b="1" i="0" u="none" strike="noStrike" baseline="0">
            <a:solidFill>
              <a:srgbClr val="000000"/>
            </a:solidFill>
            <a:latin typeface="Calibri"/>
          </a:endParaRPr>
        </a:p>
        <a:p>
          <a:pPr algn="l" rtl="0">
            <a:defRPr sz="1000"/>
          </a:pPr>
          <a:endParaRPr lang="en-US" sz="900" b="1" i="0" u="none" strike="noStrike" baseline="0">
            <a:solidFill>
              <a:srgbClr val="000000"/>
            </a:solidFill>
            <a:latin typeface="Calibri"/>
          </a:endParaRPr>
        </a:p>
        <a:p>
          <a:pPr algn="l" rtl="0">
            <a:defRPr sz="1000"/>
          </a:pPr>
          <a:r>
            <a:rPr lang="en-US" sz="900" b="1" i="0" u="none" strike="noStrike" baseline="0">
              <a:solidFill>
                <a:srgbClr val="000000"/>
              </a:solidFill>
              <a:latin typeface="Calibri"/>
            </a:rPr>
            <a:t>4. Results </a:t>
          </a:r>
        </a:p>
        <a:p>
          <a:pPr algn="l" rtl="0">
            <a:defRPr sz="1000"/>
          </a:pPr>
          <a:r>
            <a:rPr lang="en-US" sz="900" b="0" i="0" u="none" strike="noStrike" baseline="0">
              <a:solidFill>
                <a:srgbClr val="000000"/>
              </a:solidFill>
              <a:latin typeface="Calibri"/>
            </a:rPr>
            <a:t>Your totals will be calculated in the table Total CO2 eq. in tons (6). </a:t>
          </a:r>
          <a:endParaRPr lang="en-US" sz="900" b="1" i="0" u="none" strike="noStrike" baseline="0">
            <a:solidFill>
              <a:srgbClr val="000000"/>
            </a:solidFill>
            <a:latin typeface="Calibri"/>
          </a:endParaRPr>
        </a:p>
        <a:p>
          <a:pPr algn="l" rtl="0">
            <a:defRPr sz="1000"/>
          </a:pPr>
          <a:endParaRPr lang="en-US" sz="900" b="0" i="0" u="none" strike="noStrike" baseline="0">
            <a:solidFill>
              <a:srgbClr val="000000"/>
            </a:solidFill>
            <a:latin typeface="Calibri"/>
          </a:endParaRPr>
        </a:p>
        <a:p>
          <a:pPr algn="l" rtl="0">
            <a:defRPr sz="1000"/>
          </a:pPr>
          <a:endParaRPr lang="en-US" sz="900" b="0" i="0" u="none" strike="noStrike" baseline="0">
            <a:solidFill>
              <a:srgbClr val="000000"/>
            </a:solidFill>
            <a:latin typeface="Calibri"/>
          </a:endParaRPr>
        </a:p>
        <a:p>
          <a:pPr algn="l" rtl="0">
            <a:defRPr sz="1000"/>
          </a:pPr>
          <a:endParaRPr lang="en-US" sz="900" b="0" i="0" u="none" strike="noStrike" baseline="0">
            <a:solidFill>
              <a:srgbClr val="000000"/>
            </a:solidFill>
            <a:latin typeface="Calibri"/>
          </a:endParaRPr>
        </a:p>
        <a:p>
          <a:pPr algn="l" rtl="0">
            <a:defRPr sz="1000"/>
          </a:pPr>
          <a:endParaRPr lang="en-US" sz="900" b="0" i="0" u="none" strike="noStrike" baseline="0">
            <a:solidFill>
              <a:srgbClr val="000000"/>
            </a:solidFill>
            <a:latin typeface="Calibri"/>
          </a:endParaRPr>
        </a:p>
        <a:p>
          <a:pPr algn="l" rtl="0">
            <a:defRPr sz="1000"/>
          </a:pPr>
          <a:endParaRPr lang="en-US" sz="900" b="0" i="0" u="none" strike="noStrike" baseline="0">
            <a:solidFill>
              <a:srgbClr val="000000"/>
            </a:solidFill>
            <a:latin typeface="Calibri"/>
          </a:endParaRPr>
        </a:p>
        <a:p>
          <a:pPr algn="l" rtl="0">
            <a:defRPr sz="1000"/>
          </a:pPr>
          <a:endParaRPr lang="en-US" sz="900" b="0" i="0" u="none" strike="noStrike" baseline="0">
            <a:solidFill>
              <a:srgbClr val="000000"/>
            </a:solidFill>
            <a:latin typeface="Calibri"/>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266700</xdr:colOff>
      <xdr:row>1</xdr:row>
      <xdr:rowOff>129540</xdr:rowOff>
    </xdr:from>
    <xdr:to>
      <xdr:col>8</xdr:col>
      <xdr:colOff>266700</xdr:colOff>
      <xdr:row>19</xdr:row>
      <xdr:rowOff>60960</xdr:rowOff>
    </xdr:to>
    <xdr:graphicFrame macro="">
      <xdr:nvGraphicFramePr>
        <xdr:cNvPr id="25676" name="Diagram 1">
          <a:extLst>
            <a:ext uri="{FF2B5EF4-FFF2-40B4-BE49-F238E27FC236}">
              <a16:creationId xmlns:a16="http://schemas.microsoft.com/office/drawing/2014/main" id="{00000000-0008-0000-1300-00004C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236220</xdr:colOff>
      <xdr:row>20</xdr:row>
      <xdr:rowOff>137160</xdr:rowOff>
    </xdr:from>
    <xdr:to>
      <xdr:col>8</xdr:col>
      <xdr:colOff>228600</xdr:colOff>
      <xdr:row>38</xdr:row>
      <xdr:rowOff>91440</xdr:rowOff>
    </xdr:to>
    <xdr:graphicFrame macro="">
      <xdr:nvGraphicFramePr>
        <xdr:cNvPr id="25677" name="Diagram 2">
          <a:extLst>
            <a:ext uri="{FF2B5EF4-FFF2-40B4-BE49-F238E27FC236}">
              <a16:creationId xmlns:a16="http://schemas.microsoft.com/office/drawing/2014/main" id="{00000000-0008-0000-1300-00004D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236220</xdr:colOff>
      <xdr:row>39</xdr:row>
      <xdr:rowOff>137160</xdr:rowOff>
    </xdr:from>
    <xdr:to>
      <xdr:col>8</xdr:col>
      <xdr:colOff>198120</xdr:colOff>
      <xdr:row>57</xdr:row>
      <xdr:rowOff>76200</xdr:rowOff>
    </xdr:to>
    <xdr:graphicFrame macro="">
      <xdr:nvGraphicFramePr>
        <xdr:cNvPr id="25678" name="Diagram 3">
          <a:extLst>
            <a:ext uri="{FF2B5EF4-FFF2-40B4-BE49-F238E27FC236}">
              <a16:creationId xmlns:a16="http://schemas.microsoft.com/office/drawing/2014/main" id="{00000000-0008-0000-1300-00004E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228600</xdr:colOff>
      <xdr:row>59</xdr:row>
      <xdr:rowOff>68580</xdr:rowOff>
    </xdr:from>
    <xdr:to>
      <xdr:col>8</xdr:col>
      <xdr:colOff>213360</xdr:colOff>
      <xdr:row>76</xdr:row>
      <xdr:rowOff>160020</xdr:rowOff>
    </xdr:to>
    <xdr:graphicFrame macro="">
      <xdr:nvGraphicFramePr>
        <xdr:cNvPr id="25679" name="Diagram 4">
          <a:extLst>
            <a:ext uri="{FF2B5EF4-FFF2-40B4-BE49-F238E27FC236}">
              <a16:creationId xmlns:a16="http://schemas.microsoft.com/office/drawing/2014/main" id="{00000000-0008-0000-1300-00004F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220980</xdr:colOff>
      <xdr:row>78</xdr:row>
      <xdr:rowOff>45720</xdr:rowOff>
    </xdr:from>
    <xdr:to>
      <xdr:col>8</xdr:col>
      <xdr:colOff>198120</xdr:colOff>
      <xdr:row>95</xdr:row>
      <xdr:rowOff>68580</xdr:rowOff>
    </xdr:to>
    <xdr:graphicFrame macro="">
      <xdr:nvGraphicFramePr>
        <xdr:cNvPr id="25680" name="Diagram 5">
          <a:extLst>
            <a:ext uri="{FF2B5EF4-FFF2-40B4-BE49-F238E27FC236}">
              <a16:creationId xmlns:a16="http://schemas.microsoft.com/office/drawing/2014/main" id="{00000000-0008-0000-1300-000050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114300</xdr:colOff>
      <xdr:row>0</xdr:row>
      <xdr:rowOff>144780</xdr:rowOff>
    </xdr:from>
    <xdr:to>
      <xdr:col>12</xdr:col>
      <xdr:colOff>182880</xdr:colOff>
      <xdr:row>30</xdr:row>
      <xdr:rowOff>91440</xdr:rowOff>
    </xdr:to>
    <xdr:graphicFrame macro="">
      <xdr:nvGraphicFramePr>
        <xdr:cNvPr id="28719" name="Diagram 1">
          <a:extLst>
            <a:ext uri="{FF2B5EF4-FFF2-40B4-BE49-F238E27FC236}">
              <a16:creationId xmlns:a16="http://schemas.microsoft.com/office/drawing/2014/main" id="{00000000-0008-0000-1400-00002F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31</xdr:row>
      <xdr:rowOff>106680</xdr:rowOff>
    </xdr:from>
    <xdr:to>
      <xdr:col>12</xdr:col>
      <xdr:colOff>182880</xdr:colOff>
      <xdr:row>59</xdr:row>
      <xdr:rowOff>160020</xdr:rowOff>
    </xdr:to>
    <xdr:graphicFrame macro="">
      <xdr:nvGraphicFramePr>
        <xdr:cNvPr id="28720" name="Diagram 2">
          <a:extLst>
            <a:ext uri="{FF2B5EF4-FFF2-40B4-BE49-F238E27FC236}">
              <a16:creationId xmlns:a16="http://schemas.microsoft.com/office/drawing/2014/main" id="{00000000-0008-0000-1400-000030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122</xdr:row>
      <xdr:rowOff>160020</xdr:rowOff>
    </xdr:from>
    <xdr:to>
      <xdr:col>12</xdr:col>
      <xdr:colOff>190500</xdr:colOff>
      <xdr:row>147</xdr:row>
      <xdr:rowOff>68580</xdr:rowOff>
    </xdr:to>
    <xdr:graphicFrame macro="">
      <xdr:nvGraphicFramePr>
        <xdr:cNvPr id="28721" name="Diagram 4">
          <a:extLst>
            <a:ext uri="{FF2B5EF4-FFF2-40B4-BE49-F238E27FC236}">
              <a16:creationId xmlns:a16="http://schemas.microsoft.com/office/drawing/2014/main" id="{00000000-0008-0000-1400-000031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114300</xdr:colOff>
      <xdr:row>60</xdr:row>
      <xdr:rowOff>60960</xdr:rowOff>
    </xdr:from>
    <xdr:to>
      <xdr:col>12</xdr:col>
      <xdr:colOff>175260</xdr:colOff>
      <xdr:row>91</xdr:row>
      <xdr:rowOff>0</xdr:rowOff>
    </xdr:to>
    <xdr:graphicFrame macro="">
      <xdr:nvGraphicFramePr>
        <xdr:cNvPr id="28722" name="Diagram 50">
          <a:extLst>
            <a:ext uri="{FF2B5EF4-FFF2-40B4-BE49-F238E27FC236}">
              <a16:creationId xmlns:a16="http://schemas.microsoft.com/office/drawing/2014/main" id="{00000000-0008-0000-1400-000032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91</xdr:row>
      <xdr:rowOff>68580</xdr:rowOff>
    </xdr:from>
    <xdr:to>
      <xdr:col>12</xdr:col>
      <xdr:colOff>175260</xdr:colOff>
      <xdr:row>122</xdr:row>
      <xdr:rowOff>22860</xdr:rowOff>
    </xdr:to>
    <xdr:graphicFrame macro="">
      <xdr:nvGraphicFramePr>
        <xdr:cNvPr id="28723" name="Diagram 51">
          <a:extLst>
            <a:ext uri="{FF2B5EF4-FFF2-40B4-BE49-F238E27FC236}">
              <a16:creationId xmlns:a16="http://schemas.microsoft.com/office/drawing/2014/main" id="{00000000-0008-0000-1400-000033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0.94177</cdr:x>
      <cdr:y>0.35311</cdr:y>
    </cdr:from>
    <cdr:to>
      <cdr:x>0.98169</cdr:x>
      <cdr:y>0.57295</cdr:y>
    </cdr:to>
    <cdr:sp macro="" textlink="Details!$J$9">
      <cdr:nvSpPr>
        <cdr:cNvPr id="783361" name="Text Box 1"/>
        <cdr:cNvSpPr txBox="1">
          <a:spLocks xmlns:a="http://schemas.openxmlformats.org/drawingml/2006/main" noChangeArrowheads="1" noTextEdit="1"/>
        </cdr:cNvSpPr>
      </cdr:nvSpPr>
      <cdr:spPr bwMode="auto">
        <a:xfrm xmlns:a="http://schemas.openxmlformats.org/drawingml/2006/main">
          <a:off x="6951310" y="1813687"/>
          <a:ext cx="294723" cy="113076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36576" tIns="27432" rIns="36576" bIns="27432" anchor="ctr" upright="1"/>
        <a:lstStyle xmlns:a="http://schemas.openxmlformats.org/drawingml/2006/main"/>
        <a:p xmlns:a="http://schemas.openxmlformats.org/drawingml/2006/main">
          <a:pPr algn="ctr" rtl="0">
            <a:defRPr sz="1000"/>
          </a:pPr>
          <a:fld id="{25A35B66-AE64-4142-A8CF-E8EF53365AE0}" type="TxLink">
            <a:rPr lang="da-DK" sz="1000" b="1" i="0" u="none" strike="noStrike" baseline="0">
              <a:solidFill>
                <a:srgbClr val="000000"/>
              </a:solidFill>
              <a:latin typeface="Arial"/>
              <a:cs typeface="Arial"/>
            </a:rPr>
            <a:pPr algn="ctr" rtl="0">
              <a:defRPr sz="1000"/>
            </a:pPr>
            <a:t>tons</a:t>
          </a:fld>
          <a:endParaRPr lang="da-DK" sz="1000" b="1" i="0" u="none" strike="noStrike" baseline="0">
            <a:solidFill>
              <a:srgbClr val="000000"/>
            </a:solidFill>
            <a:latin typeface="Arial"/>
            <a:cs typeface="Arial"/>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0.94769</cdr:x>
      <cdr:y>0.36926</cdr:y>
    </cdr:from>
    <cdr:to>
      <cdr:x>0.98489</cdr:x>
      <cdr:y>0.54431</cdr:y>
    </cdr:to>
    <cdr:sp macro="" textlink="Details!$L$9">
      <cdr:nvSpPr>
        <cdr:cNvPr id="784385" name="Text Box 1"/>
        <cdr:cNvSpPr txBox="1">
          <a:spLocks xmlns:a="http://schemas.openxmlformats.org/drawingml/2006/main" noChangeArrowheads="1" noTextEdit="1"/>
        </cdr:cNvSpPr>
      </cdr:nvSpPr>
      <cdr:spPr bwMode="auto">
        <a:xfrm xmlns:a="http://schemas.openxmlformats.org/drawingml/2006/main">
          <a:off x="6994973" y="1902380"/>
          <a:ext cx="274710" cy="90305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fld id="{A0EB45A3-9FC8-4B27-90F7-C2AA127DCAAA}" type="TxLink">
            <a:rPr lang="da-DK" sz="800" b="1" i="0" u="none" strike="noStrike" baseline="0">
              <a:solidFill>
                <a:srgbClr val="000000"/>
              </a:solidFill>
              <a:latin typeface="Arial"/>
              <a:cs typeface="Arial"/>
            </a:rPr>
            <a:pPr algn="ctr" rtl="0">
              <a:defRPr sz="1000"/>
            </a:pPr>
            <a:t>[°C]</a:t>
          </a:fld>
          <a:endParaRPr lang="da-DK" sz="800" b="1"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243840</xdr:colOff>
      <xdr:row>0</xdr:row>
      <xdr:rowOff>99060</xdr:rowOff>
    </xdr:from>
    <xdr:to>
      <xdr:col>9</xdr:col>
      <xdr:colOff>472440</xdr:colOff>
      <xdr:row>21</xdr:row>
      <xdr:rowOff>76200</xdr:rowOff>
    </xdr:to>
    <xdr:graphicFrame macro="">
      <xdr:nvGraphicFramePr>
        <xdr:cNvPr id="12379" name="Diagram 1">
          <a:extLst>
            <a:ext uri="{FF2B5EF4-FFF2-40B4-BE49-F238E27FC236}">
              <a16:creationId xmlns:a16="http://schemas.microsoft.com/office/drawing/2014/main" id="{00000000-0008-0000-0B00-00005B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213360</xdr:colOff>
      <xdr:row>23</xdr:row>
      <xdr:rowOff>91440</xdr:rowOff>
    </xdr:from>
    <xdr:to>
      <xdr:col>9</xdr:col>
      <xdr:colOff>487680</xdr:colOff>
      <xdr:row>45</xdr:row>
      <xdr:rowOff>129540</xdr:rowOff>
    </xdr:to>
    <xdr:graphicFrame macro="">
      <xdr:nvGraphicFramePr>
        <xdr:cNvPr id="12380" name="Diagram 2">
          <a:extLst>
            <a:ext uri="{FF2B5EF4-FFF2-40B4-BE49-F238E27FC236}">
              <a16:creationId xmlns:a16="http://schemas.microsoft.com/office/drawing/2014/main" id="{00000000-0008-0000-0B00-00005C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213360</xdr:colOff>
      <xdr:row>47</xdr:row>
      <xdr:rowOff>38100</xdr:rowOff>
    </xdr:from>
    <xdr:to>
      <xdr:col>9</xdr:col>
      <xdr:colOff>487680</xdr:colOff>
      <xdr:row>69</xdr:row>
      <xdr:rowOff>38100</xdr:rowOff>
    </xdr:to>
    <xdr:graphicFrame macro="">
      <xdr:nvGraphicFramePr>
        <xdr:cNvPr id="12381" name="Diagram 3">
          <a:extLst>
            <a:ext uri="{FF2B5EF4-FFF2-40B4-BE49-F238E27FC236}">
              <a16:creationId xmlns:a16="http://schemas.microsoft.com/office/drawing/2014/main" id="{00000000-0008-0000-0B00-00005D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213360</xdr:colOff>
      <xdr:row>70</xdr:row>
      <xdr:rowOff>137160</xdr:rowOff>
    </xdr:from>
    <xdr:to>
      <xdr:col>9</xdr:col>
      <xdr:colOff>480060</xdr:colOff>
      <xdr:row>91</xdr:row>
      <xdr:rowOff>106680</xdr:rowOff>
    </xdr:to>
    <xdr:graphicFrame macro="">
      <xdr:nvGraphicFramePr>
        <xdr:cNvPr id="12382" name="Diagram 4">
          <a:extLst>
            <a:ext uri="{FF2B5EF4-FFF2-40B4-BE49-F238E27FC236}">
              <a16:creationId xmlns:a16="http://schemas.microsoft.com/office/drawing/2014/main" id="{00000000-0008-0000-0B00-00005E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220980</xdr:colOff>
      <xdr:row>93</xdr:row>
      <xdr:rowOff>0</xdr:rowOff>
    </xdr:from>
    <xdr:to>
      <xdr:col>9</xdr:col>
      <xdr:colOff>480060</xdr:colOff>
      <xdr:row>116</xdr:row>
      <xdr:rowOff>144780</xdr:rowOff>
    </xdr:to>
    <xdr:graphicFrame macro="">
      <xdr:nvGraphicFramePr>
        <xdr:cNvPr id="12383" name="Diagram 5">
          <a:extLst>
            <a:ext uri="{FF2B5EF4-FFF2-40B4-BE49-F238E27FC236}">
              <a16:creationId xmlns:a16="http://schemas.microsoft.com/office/drawing/2014/main" id="{00000000-0008-0000-0B00-00005F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220980</xdr:colOff>
      <xdr:row>118</xdr:row>
      <xdr:rowOff>30480</xdr:rowOff>
    </xdr:from>
    <xdr:to>
      <xdr:col>9</xdr:col>
      <xdr:colOff>472440</xdr:colOff>
      <xdr:row>142</xdr:row>
      <xdr:rowOff>30480</xdr:rowOff>
    </xdr:to>
    <xdr:graphicFrame macro="">
      <xdr:nvGraphicFramePr>
        <xdr:cNvPr id="12384" name="Diagram 6">
          <a:extLst>
            <a:ext uri="{FF2B5EF4-FFF2-40B4-BE49-F238E27FC236}">
              <a16:creationId xmlns:a16="http://schemas.microsoft.com/office/drawing/2014/main" id="{00000000-0008-0000-0B00-000060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160020</xdr:rowOff>
    </xdr:from>
    <xdr:to>
      <xdr:col>8</xdr:col>
      <xdr:colOff>388620</xdr:colOff>
      <xdr:row>21</xdr:row>
      <xdr:rowOff>129540</xdr:rowOff>
    </xdr:to>
    <xdr:graphicFrame macro="">
      <xdr:nvGraphicFramePr>
        <xdr:cNvPr id="13388" name="Diagram 1">
          <a:extLst>
            <a:ext uri="{FF2B5EF4-FFF2-40B4-BE49-F238E27FC236}">
              <a16:creationId xmlns:a16="http://schemas.microsoft.com/office/drawing/2014/main" id="{00000000-0008-0000-0C00-00004C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167640</xdr:colOff>
      <xdr:row>23</xdr:row>
      <xdr:rowOff>60960</xdr:rowOff>
    </xdr:from>
    <xdr:to>
      <xdr:col>8</xdr:col>
      <xdr:colOff>388620</xdr:colOff>
      <xdr:row>44</xdr:row>
      <xdr:rowOff>22860</xdr:rowOff>
    </xdr:to>
    <xdr:graphicFrame macro="">
      <xdr:nvGraphicFramePr>
        <xdr:cNvPr id="13389" name="Diagram 2">
          <a:extLst>
            <a:ext uri="{FF2B5EF4-FFF2-40B4-BE49-F238E27FC236}">
              <a16:creationId xmlns:a16="http://schemas.microsoft.com/office/drawing/2014/main" id="{00000000-0008-0000-0C00-00004D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144780</xdr:colOff>
      <xdr:row>45</xdr:row>
      <xdr:rowOff>99060</xdr:rowOff>
    </xdr:from>
    <xdr:to>
      <xdr:col>8</xdr:col>
      <xdr:colOff>388620</xdr:colOff>
      <xdr:row>66</xdr:row>
      <xdr:rowOff>60960</xdr:rowOff>
    </xdr:to>
    <xdr:graphicFrame macro="">
      <xdr:nvGraphicFramePr>
        <xdr:cNvPr id="13390" name="Diagram 3">
          <a:extLst>
            <a:ext uri="{FF2B5EF4-FFF2-40B4-BE49-F238E27FC236}">
              <a16:creationId xmlns:a16="http://schemas.microsoft.com/office/drawing/2014/main" id="{00000000-0008-0000-0C00-00004E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137160</xdr:colOff>
      <xdr:row>67</xdr:row>
      <xdr:rowOff>160020</xdr:rowOff>
    </xdr:from>
    <xdr:to>
      <xdr:col>8</xdr:col>
      <xdr:colOff>441960</xdr:colOff>
      <xdr:row>91</xdr:row>
      <xdr:rowOff>137160</xdr:rowOff>
    </xdr:to>
    <xdr:graphicFrame macro="">
      <xdr:nvGraphicFramePr>
        <xdr:cNvPr id="13391" name="Diagram 4">
          <a:extLst>
            <a:ext uri="{FF2B5EF4-FFF2-40B4-BE49-F238E27FC236}">
              <a16:creationId xmlns:a16="http://schemas.microsoft.com/office/drawing/2014/main" id="{00000000-0008-0000-0C00-00004F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137160</xdr:colOff>
      <xdr:row>93</xdr:row>
      <xdr:rowOff>38100</xdr:rowOff>
    </xdr:from>
    <xdr:to>
      <xdr:col>8</xdr:col>
      <xdr:colOff>480060</xdr:colOff>
      <xdr:row>117</xdr:row>
      <xdr:rowOff>38100</xdr:rowOff>
    </xdr:to>
    <xdr:graphicFrame macro="">
      <xdr:nvGraphicFramePr>
        <xdr:cNvPr id="13392" name="Diagram 5">
          <a:extLst>
            <a:ext uri="{FF2B5EF4-FFF2-40B4-BE49-F238E27FC236}">
              <a16:creationId xmlns:a16="http://schemas.microsoft.com/office/drawing/2014/main" id="{00000000-0008-0000-0C00-000050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144780</xdr:colOff>
      <xdr:row>1</xdr:row>
      <xdr:rowOff>0</xdr:rowOff>
    </xdr:from>
    <xdr:to>
      <xdr:col>8</xdr:col>
      <xdr:colOff>38100</xdr:colOff>
      <xdr:row>21</xdr:row>
      <xdr:rowOff>144780</xdr:rowOff>
    </xdr:to>
    <xdr:graphicFrame macro="">
      <xdr:nvGraphicFramePr>
        <xdr:cNvPr id="14397" name="Diagram 1">
          <a:extLst>
            <a:ext uri="{FF2B5EF4-FFF2-40B4-BE49-F238E27FC236}">
              <a16:creationId xmlns:a16="http://schemas.microsoft.com/office/drawing/2014/main" id="{00000000-0008-0000-0D00-00003D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160020</xdr:colOff>
      <xdr:row>23</xdr:row>
      <xdr:rowOff>144780</xdr:rowOff>
    </xdr:from>
    <xdr:to>
      <xdr:col>8</xdr:col>
      <xdr:colOff>22860</xdr:colOff>
      <xdr:row>44</xdr:row>
      <xdr:rowOff>121920</xdr:rowOff>
    </xdr:to>
    <xdr:graphicFrame macro="">
      <xdr:nvGraphicFramePr>
        <xdr:cNvPr id="14398" name="Diagram 2">
          <a:extLst>
            <a:ext uri="{FF2B5EF4-FFF2-40B4-BE49-F238E27FC236}">
              <a16:creationId xmlns:a16="http://schemas.microsoft.com/office/drawing/2014/main" id="{00000000-0008-0000-0D00-00003E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175260</xdr:colOff>
      <xdr:row>46</xdr:row>
      <xdr:rowOff>38100</xdr:rowOff>
    </xdr:from>
    <xdr:to>
      <xdr:col>8</xdr:col>
      <xdr:colOff>38100</xdr:colOff>
      <xdr:row>70</xdr:row>
      <xdr:rowOff>38100</xdr:rowOff>
    </xdr:to>
    <xdr:graphicFrame macro="">
      <xdr:nvGraphicFramePr>
        <xdr:cNvPr id="14399" name="Diagram 3">
          <a:extLst>
            <a:ext uri="{FF2B5EF4-FFF2-40B4-BE49-F238E27FC236}">
              <a16:creationId xmlns:a16="http://schemas.microsoft.com/office/drawing/2014/main" id="{00000000-0008-0000-0D00-00003F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182880</xdr:colOff>
      <xdr:row>71</xdr:row>
      <xdr:rowOff>76200</xdr:rowOff>
    </xdr:from>
    <xdr:to>
      <xdr:col>8</xdr:col>
      <xdr:colOff>38100</xdr:colOff>
      <xdr:row>95</xdr:row>
      <xdr:rowOff>76200</xdr:rowOff>
    </xdr:to>
    <xdr:graphicFrame macro="">
      <xdr:nvGraphicFramePr>
        <xdr:cNvPr id="14400" name="Diagram 4">
          <a:extLst>
            <a:ext uri="{FF2B5EF4-FFF2-40B4-BE49-F238E27FC236}">
              <a16:creationId xmlns:a16="http://schemas.microsoft.com/office/drawing/2014/main" id="{00000000-0008-0000-0D00-000040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167640</xdr:colOff>
      <xdr:row>0</xdr:row>
      <xdr:rowOff>160020</xdr:rowOff>
    </xdr:from>
    <xdr:to>
      <xdr:col>7</xdr:col>
      <xdr:colOff>594360</xdr:colOff>
      <xdr:row>21</xdr:row>
      <xdr:rowOff>137160</xdr:rowOff>
    </xdr:to>
    <xdr:graphicFrame macro="">
      <xdr:nvGraphicFramePr>
        <xdr:cNvPr id="16445" name="Diagram 1">
          <a:extLst>
            <a:ext uri="{FF2B5EF4-FFF2-40B4-BE49-F238E27FC236}">
              <a16:creationId xmlns:a16="http://schemas.microsoft.com/office/drawing/2014/main" id="{00000000-0008-0000-0E00-00003D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182880</xdr:colOff>
      <xdr:row>23</xdr:row>
      <xdr:rowOff>7620</xdr:rowOff>
    </xdr:from>
    <xdr:to>
      <xdr:col>7</xdr:col>
      <xdr:colOff>594360</xdr:colOff>
      <xdr:row>43</xdr:row>
      <xdr:rowOff>160020</xdr:rowOff>
    </xdr:to>
    <xdr:graphicFrame macro="">
      <xdr:nvGraphicFramePr>
        <xdr:cNvPr id="16446" name="Diagram 2">
          <a:extLst>
            <a:ext uri="{FF2B5EF4-FFF2-40B4-BE49-F238E27FC236}">
              <a16:creationId xmlns:a16="http://schemas.microsoft.com/office/drawing/2014/main" id="{00000000-0008-0000-0E00-00003E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175260</xdr:colOff>
      <xdr:row>45</xdr:row>
      <xdr:rowOff>45720</xdr:rowOff>
    </xdr:from>
    <xdr:to>
      <xdr:col>7</xdr:col>
      <xdr:colOff>586740</xdr:colOff>
      <xdr:row>69</xdr:row>
      <xdr:rowOff>45720</xdr:rowOff>
    </xdr:to>
    <xdr:graphicFrame macro="">
      <xdr:nvGraphicFramePr>
        <xdr:cNvPr id="16447" name="Diagram 3">
          <a:extLst>
            <a:ext uri="{FF2B5EF4-FFF2-40B4-BE49-F238E27FC236}">
              <a16:creationId xmlns:a16="http://schemas.microsoft.com/office/drawing/2014/main" id="{00000000-0008-0000-0E00-00003F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182880</xdr:colOff>
      <xdr:row>70</xdr:row>
      <xdr:rowOff>121920</xdr:rowOff>
    </xdr:from>
    <xdr:to>
      <xdr:col>7</xdr:col>
      <xdr:colOff>586740</xdr:colOff>
      <xdr:row>93</xdr:row>
      <xdr:rowOff>0</xdr:rowOff>
    </xdr:to>
    <xdr:graphicFrame macro="">
      <xdr:nvGraphicFramePr>
        <xdr:cNvPr id="16448" name="Diagram 4">
          <a:extLst>
            <a:ext uri="{FF2B5EF4-FFF2-40B4-BE49-F238E27FC236}">
              <a16:creationId xmlns:a16="http://schemas.microsoft.com/office/drawing/2014/main" id="{00000000-0008-0000-0E00-000040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167640</xdr:colOff>
      <xdr:row>0</xdr:row>
      <xdr:rowOff>160020</xdr:rowOff>
    </xdr:from>
    <xdr:to>
      <xdr:col>9</xdr:col>
      <xdr:colOff>411480</xdr:colOff>
      <xdr:row>24</xdr:row>
      <xdr:rowOff>38100</xdr:rowOff>
    </xdr:to>
    <xdr:graphicFrame macro="">
      <xdr:nvGraphicFramePr>
        <xdr:cNvPr id="18523" name="Diagram 1">
          <a:extLst>
            <a:ext uri="{FF2B5EF4-FFF2-40B4-BE49-F238E27FC236}">
              <a16:creationId xmlns:a16="http://schemas.microsoft.com/office/drawing/2014/main" id="{00000000-0008-0000-0F00-00005B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160020</xdr:colOff>
      <xdr:row>25</xdr:row>
      <xdr:rowOff>22860</xdr:rowOff>
    </xdr:from>
    <xdr:to>
      <xdr:col>9</xdr:col>
      <xdr:colOff>419100</xdr:colOff>
      <xdr:row>48</xdr:row>
      <xdr:rowOff>91440</xdr:rowOff>
    </xdr:to>
    <xdr:graphicFrame macro="">
      <xdr:nvGraphicFramePr>
        <xdr:cNvPr id="18524" name="Diagram 2">
          <a:extLst>
            <a:ext uri="{FF2B5EF4-FFF2-40B4-BE49-F238E27FC236}">
              <a16:creationId xmlns:a16="http://schemas.microsoft.com/office/drawing/2014/main" id="{00000000-0008-0000-0F00-00005C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160020</xdr:colOff>
      <xdr:row>75</xdr:row>
      <xdr:rowOff>68580</xdr:rowOff>
    </xdr:from>
    <xdr:to>
      <xdr:col>9</xdr:col>
      <xdr:colOff>403860</xdr:colOff>
      <xdr:row>99</xdr:row>
      <xdr:rowOff>68580</xdr:rowOff>
    </xdr:to>
    <xdr:graphicFrame macro="">
      <xdr:nvGraphicFramePr>
        <xdr:cNvPr id="18525" name="Diagram 3">
          <a:extLst>
            <a:ext uri="{FF2B5EF4-FFF2-40B4-BE49-F238E27FC236}">
              <a16:creationId xmlns:a16="http://schemas.microsoft.com/office/drawing/2014/main" id="{00000000-0008-0000-0F00-00005D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182880</xdr:colOff>
      <xdr:row>49</xdr:row>
      <xdr:rowOff>160020</xdr:rowOff>
    </xdr:from>
    <xdr:to>
      <xdr:col>9</xdr:col>
      <xdr:colOff>403860</xdr:colOff>
      <xdr:row>73</xdr:row>
      <xdr:rowOff>160020</xdr:rowOff>
    </xdr:to>
    <xdr:graphicFrame macro="">
      <xdr:nvGraphicFramePr>
        <xdr:cNvPr id="18526" name="Diagram 4">
          <a:extLst>
            <a:ext uri="{FF2B5EF4-FFF2-40B4-BE49-F238E27FC236}">
              <a16:creationId xmlns:a16="http://schemas.microsoft.com/office/drawing/2014/main" id="{00000000-0008-0000-0F00-00005E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144780</xdr:colOff>
      <xdr:row>100</xdr:row>
      <xdr:rowOff>144780</xdr:rowOff>
    </xdr:from>
    <xdr:to>
      <xdr:col>9</xdr:col>
      <xdr:colOff>388620</xdr:colOff>
      <xdr:row>124</xdr:row>
      <xdr:rowOff>144780</xdr:rowOff>
    </xdr:to>
    <xdr:graphicFrame macro="">
      <xdr:nvGraphicFramePr>
        <xdr:cNvPr id="18527" name="Diagram 5">
          <a:extLst>
            <a:ext uri="{FF2B5EF4-FFF2-40B4-BE49-F238E27FC236}">
              <a16:creationId xmlns:a16="http://schemas.microsoft.com/office/drawing/2014/main" id="{00000000-0008-0000-0F00-00005F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144780</xdr:colOff>
      <xdr:row>126</xdr:row>
      <xdr:rowOff>68580</xdr:rowOff>
    </xdr:from>
    <xdr:to>
      <xdr:col>9</xdr:col>
      <xdr:colOff>358140</xdr:colOff>
      <xdr:row>150</xdr:row>
      <xdr:rowOff>68580</xdr:rowOff>
    </xdr:to>
    <xdr:graphicFrame macro="">
      <xdr:nvGraphicFramePr>
        <xdr:cNvPr id="18528" name="Diagram 6">
          <a:extLst>
            <a:ext uri="{FF2B5EF4-FFF2-40B4-BE49-F238E27FC236}">
              <a16:creationId xmlns:a16="http://schemas.microsoft.com/office/drawing/2014/main" id="{00000000-0008-0000-0F00-0000604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144780</xdr:colOff>
      <xdr:row>0</xdr:row>
      <xdr:rowOff>121920</xdr:rowOff>
    </xdr:from>
    <xdr:to>
      <xdr:col>8</xdr:col>
      <xdr:colOff>213360</xdr:colOff>
      <xdr:row>25</xdr:row>
      <xdr:rowOff>160020</xdr:rowOff>
    </xdr:to>
    <xdr:graphicFrame macro="">
      <xdr:nvGraphicFramePr>
        <xdr:cNvPr id="19502" name="Diagram 1">
          <a:extLst>
            <a:ext uri="{FF2B5EF4-FFF2-40B4-BE49-F238E27FC236}">
              <a16:creationId xmlns:a16="http://schemas.microsoft.com/office/drawing/2014/main" id="{00000000-0008-0000-1000-00002E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160020</xdr:colOff>
      <xdr:row>27</xdr:row>
      <xdr:rowOff>60960</xdr:rowOff>
    </xdr:from>
    <xdr:to>
      <xdr:col>8</xdr:col>
      <xdr:colOff>198120</xdr:colOff>
      <xdr:row>52</xdr:row>
      <xdr:rowOff>106680</xdr:rowOff>
    </xdr:to>
    <xdr:graphicFrame macro="">
      <xdr:nvGraphicFramePr>
        <xdr:cNvPr id="19503" name="Diagram 2">
          <a:extLst>
            <a:ext uri="{FF2B5EF4-FFF2-40B4-BE49-F238E27FC236}">
              <a16:creationId xmlns:a16="http://schemas.microsoft.com/office/drawing/2014/main" id="{00000000-0008-0000-1000-00002F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167640</xdr:colOff>
      <xdr:row>53</xdr:row>
      <xdr:rowOff>137160</xdr:rowOff>
    </xdr:from>
    <xdr:to>
      <xdr:col>8</xdr:col>
      <xdr:colOff>182880</xdr:colOff>
      <xdr:row>79</xdr:row>
      <xdr:rowOff>30480</xdr:rowOff>
    </xdr:to>
    <xdr:graphicFrame macro="">
      <xdr:nvGraphicFramePr>
        <xdr:cNvPr id="19504" name="Diagram 3">
          <a:extLst>
            <a:ext uri="{FF2B5EF4-FFF2-40B4-BE49-F238E27FC236}">
              <a16:creationId xmlns:a16="http://schemas.microsoft.com/office/drawing/2014/main" id="{00000000-0008-0000-1000-0000304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617220</xdr:colOff>
      <xdr:row>1</xdr:row>
      <xdr:rowOff>7620</xdr:rowOff>
    </xdr:from>
    <xdr:to>
      <xdr:col>6</xdr:col>
      <xdr:colOff>617220</xdr:colOff>
      <xdr:row>20</xdr:row>
      <xdr:rowOff>7620</xdr:rowOff>
    </xdr:to>
    <xdr:graphicFrame macro="">
      <xdr:nvGraphicFramePr>
        <xdr:cNvPr id="10331" name="Diagram 1">
          <a:extLst>
            <a:ext uri="{FF2B5EF4-FFF2-40B4-BE49-F238E27FC236}">
              <a16:creationId xmlns:a16="http://schemas.microsoft.com/office/drawing/2014/main" id="{00000000-0008-0000-1100-00005B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167640</xdr:colOff>
      <xdr:row>1</xdr:row>
      <xdr:rowOff>7620</xdr:rowOff>
    </xdr:from>
    <xdr:to>
      <xdr:col>13</xdr:col>
      <xdr:colOff>0</xdr:colOff>
      <xdr:row>20</xdr:row>
      <xdr:rowOff>22860</xdr:rowOff>
    </xdr:to>
    <xdr:graphicFrame macro="">
      <xdr:nvGraphicFramePr>
        <xdr:cNvPr id="10332" name="Diagram 2">
          <a:extLst>
            <a:ext uri="{FF2B5EF4-FFF2-40B4-BE49-F238E27FC236}">
              <a16:creationId xmlns:a16="http://schemas.microsoft.com/office/drawing/2014/main" id="{00000000-0008-0000-1100-00005C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7620</xdr:colOff>
      <xdr:row>21</xdr:row>
      <xdr:rowOff>45720</xdr:rowOff>
    </xdr:from>
    <xdr:to>
      <xdr:col>6</xdr:col>
      <xdr:colOff>601980</xdr:colOff>
      <xdr:row>40</xdr:row>
      <xdr:rowOff>68580</xdr:rowOff>
    </xdr:to>
    <xdr:graphicFrame macro="">
      <xdr:nvGraphicFramePr>
        <xdr:cNvPr id="10333" name="Diagram 3">
          <a:extLst>
            <a:ext uri="{FF2B5EF4-FFF2-40B4-BE49-F238E27FC236}">
              <a16:creationId xmlns:a16="http://schemas.microsoft.com/office/drawing/2014/main" id="{00000000-0008-0000-1100-00005D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182880</xdr:colOff>
      <xdr:row>21</xdr:row>
      <xdr:rowOff>60960</xdr:rowOff>
    </xdr:from>
    <xdr:to>
      <xdr:col>13</xdr:col>
      <xdr:colOff>0</xdr:colOff>
      <xdr:row>40</xdr:row>
      <xdr:rowOff>91440</xdr:rowOff>
    </xdr:to>
    <xdr:graphicFrame macro="">
      <xdr:nvGraphicFramePr>
        <xdr:cNvPr id="10334" name="Diagram 4">
          <a:extLst>
            <a:ext uri="{FF2B5EF4-FFF2-40B4-BE49-F238E27FC236}">
              <a16:creationId xmlns:a16="http://schemas.microsoft.com/office/drawing/2014/main" id="{00000000-0008-0000-1100-00005E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41</xdr:row>
      <xdr:rowOff>129540</xdr:rowOff>
    </xdr:from>
    <xdr:to>
      <xdr:col>6</xdr:col>
      <xdr:colOff>601980</xdr:colOff>
      <xdr:row>61</xdr:row>
      <xdr:rowOff>0</xdr:rowOff>
    </xdr:to>
    <xdr:graphicFrame macro="">
      <xdr:nvGraphicFramePr>
        <xdr:cNvPr id="10335" name="Diagram 5">
          <a:extLst>
            <a:ext uri="{FF2B5EF4-FFF2-40B4-BE49-F238E27FC236}">
              <a16:creationId xmlns:a16="http://schemas.microsoft.com/office/drawing/2014/main" id="{00000000-0008-0000-1100-00005F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205740</xdr:colOff>
      <xdr:row>41</xdr:row>
      <xdr:rowOff>121920</xdr:rowOff>
    </xdr:from>
    <xdr:to>
      <xdr:col>13</xdr:col>
      <xdr:colOff>0</xdr:colOff>
      <xdr:row>61</xdr:row>
      <xdr:rowOff>0</xdr:rowOff>
    </xdr:to>
    <xdr:graphicFrame macro="">
      <xdr:nvGraphicFramePr>
        <xdr:cNvPr id="10336" name="Diagram 6">
          <a:extLst>
            <a:ext uri="{FF2B5EF4-FFF2-40B4-BE49-F238E27FC236}">
              <a16:creationId xmlns:a16="http://schemas.microsoft.com/office/drawing/2014/main" id="{00000000-0008-0000-1100-000060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30480</xdr:colOff>
      <xdr:row>8</xdr:row>
      <xdr:rowOff>144780</xdr:rowOff>
    </xdr:from>
    <xdr:to>
      <xdr:col>19</xdr:col>
      <xdr:colOff>198120</xdr:colOff>
      <xdr:row>32</xdr:row>
      <xdr:rowOff>144780</xdr:rowOff>
    </xdr:to>
    <xdr:graphicFrame macro="">
      <xdr:nvGraphicFramePr>
        <xdr:cNvPr id="20541" name="Diagram 1">
          <a:extLst>
            <a:ext uri="{FF2B5EF4-FFF2-40B4-BE49-F238E27FC236}">
              <a16:creationId xmlns:a16="http://schemas.microsoft.com/office/drawing/2014/main" id="{00000000-0008-0000-1200-00003D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198120</xdr:colOff>
      <xdr:row>132</xdr:row>
      <xdr:rowOff>144780</xdr:rowOff>
    </xdr:from>
    <xdr:to>
      <xdr:col>9</xdr:col>
      <xdr:colOff>350520</xdr:colOff>
      <xdr:row>157</xdr:row>
      <xdr:rowOff>144780</xdr:rowOff>
    </xdr:to>
    <xdr:graphicFrame macro="">
      <xdr:nvGraphicFramePr>
        <xdr:cNvPr id="20542" name="Diagram 2">
          <a:extLst>
            <a:ext uri="{FF2B5EF4-FFF2-40B4-BE49-F238E27FC236}">
              <a16:creationId xmlns:a16="http://schemas.microsoft.com/office/drawing/2014/main" id="{00000000-0008-0000-1200-00003E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167640</xdr:colOff>
      <xdr:row>106</xdr:row>
      <xdr:rowOff>160020</xdr:rowOff>
    </xdr:from>
    <xdr:to>
      <xdr:col>9</xdr:col>
      <xdr:colOff>335280</xdr:colOff>
      <xdr:row>131</xdr:row>
      <xdr:rowOff>160020</xdr:rowOff>
    </xdr:to>
    <xdr:graphicFrame macro="">
      <xdr:nvGraphicFramePr>
        <xdr:cNvPr id="20543" name="Diagram 3">
          <a:extLst>
            <a:ext uri="{FF2B5EF4-FFF2-40B4-BE49-F238E27FC236}">
              <a16:creationId xmlns:a16="http://schemas.microsoft.com/office/drawing/2014/main" id="{00000000-0008-0000-1200-00003F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175260</xdr:colOff>
      <xdr:row>1</xdr:row>
      <xdr:rowOff>60960</xdr:rowOff>
    </xdr:from>
    <xdr:to>
      <xdr:col>9</xdr:col>
      <xdr:colOff>335280</xdr:colOff>
      <xdr:row>26</xdr:row>
      <xdr:rowOff>60960</xdr:rowOff>
    </xdr:to>
    <xdr:graphicFrame macro="">
      <xdr:nvGraphicFramePr>
        <xdr:cNvPr id="20544" name="Diagram 4">
          <a:extLst>
            <a:ext uri="{FF2B5EF4-FFF2-40B4-BE49-F238E27FC236}">
              <a16:creationId xmlns:a16="http://schemas.microsoft.com/office/drawing/2014/main" id="{00000000-0008-0000-1200-000040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167640</xdr:colOff>
      <xdr:row>26</xdr:row>
      <xdr:rowOff>137160</xdr:rowOff>
    </xdr:from>
    <xdr:to>
      <xdr:col>9</xdr:col>
      <xdr:colOff>335280</xdr:colOff>
      <xdr:row>51</xdr:row>
      <xdr:rowOff>99060</xdr:rowOff>
    </xdr:to>
    <xdr:graphicFrame macro="">
      <xdr:nvGraphicFramePr>
        <xdr:cNvPr id="20545" name="Diagram 65">
          <a:extLst>
            <a:ext uri="{FF2B5EF4-FFF2-40B4-BE49-F238E27FC236}">
              <a16:creationId xmlns:a16="http://schemas.microsoft.com/office/drawing/2014/main" id="{00000000-0008-0000-1200-000041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182880</xdr:colOff>
      <xdr:row>52</xdr:row>
      <xdr:rowOff>91440</xdr:rowOff>
    </xdr:from>
    <xdr:to>
      <xdr:col>9</xdr:col>
      <xdr:colOff>342900</xdr:colOff>
      <xdr:row>81</xdr:row>
      <xdr:rowOff>91440</xdr:rowOff>
    </xdr:to>
    <xdr:graphicFrame macro="">
      <xdr:nvGraphicFramePr>
        <xdr:cNvPr id="20546" name="Diagram 66">
          <a:extLst>
            <a:ext uri="{FF2B5EF4-FFF2-40B4-BE49-F238E27FC236}">
              <a16:creationId xmlns:a16="http://schemas.microsoft.com/office/drawing/2014/main" id="{00000000-0008-0000-1200-000042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182880</xdr:colOff>
      <xdr:row>82</xdr:row>
      <xdr:rowOff>30480</xdr:rowOff>
    </xdr:from>
    <xdr:to>
      <xdr:col>9</xdr:col>
      <xdr:colOff>320040</xdr:colOff>
      <xdr:row>106</xdr:row>
      <xdr:rowOff>7620</xdr:rowOff>
    </xdr:to>
    <xdr:graphicFrame macro="">
      <xdr:nvGraphicFramePr>
        <xdr:cNvPr id="20547" name="Diagram 67">
          <a:extLst>
            <a:ext uri="{FF2B5EF4-FFF2-40B4-BE49-F238E27FC236}">
              <a16:creationId xmlns:a16="http://schemas.microsoft.com/office/drawing/2014/main" id="{00000000-0008-0000-1200-000043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orate.aeat.com/DOCUME~1/PAUL_S~1/LOCALS~1/Temp/XPgrpwise/Database%2007-08-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CE Codes (Subset)"/>
      <sheetName val="LIEN Sites 2004"/>
      <sheetName val="Source Table"/>
      <sheetName val="Questions"/>
      <sheetName val="Industry"/>
      <sheetName val="Geography"/>
      <sheetName val="Sources"/>
      <sheetName val="Data Quality"/>
    </sheetNames>
    <sheetDataSet>
      <sheetData sheetId="0"/>
      <sheetData sheetId="1"/>
      <sheetData sheetId="2"/>
      <sheetData sheetId="3"/>
      <sheetData sheetId="4"/>
      <sheetData sheetId="5"/>
      <sheetData sheetId="6">
        <row r="2">
          <cell r="F2" t="str">
            <v>Data Source</v>
          </cell>
          <cell r="H2" t="str">
            <v>Comment</v>
          </cell>
        </row>
        <row r="3">
          <cell r="F3" t="str">
            <v>ESB (Retail Market Design Service)</v>
          </cell>
          <cell r="H3" t="str">
            <v>No Comment!</v>
          </cell>
        </row>
        <row r="4">
          <cell r="F4" t="str">
            <v>EU ETS 2005 CO2 Emissions (EPA)</v>
          </cell>
          <cell r="H4">
            <v>0</v>
          </cell>
        </row>
        <row r="5">
          <cell r="F5" t="str">
            <v>GPRO Eligible Customer List (BGÉ)</v>
          </cell>
          <cell r="H5">
            <v>0</v>
          </cell>
        </row>
        <row r="6">
          <cell r="F6" t="str">
            <v>LIEN 2004 Primary Energy Breakdown (SEI)</v>
          </cell>
          <cell r="H6">
            <v>0</v>
          </cell>
        </row>
        <row r="7">
          <cell r="F7">
            <v>0</v>
          </cell>
          <cell r="H7">
            <v>0</v>
          </cell>
        </row>
        <row r="8">
          <cell r="F8">
            <v>0</v>
          </cell>
          <cell r="H8">
            <v>0</v>
          </cell>
        </row>
        <row r="9">
          <cell r="F9">
            <v>0</v>
          </cell>
          <cell r="H9">
            <v>0</v>
          </cell>
        </row>
        <row r="10">
          <cell r="F10">
            <v>0</v>
          </cell>
          <cell r="H10">
            <v>0</v>
          </cell>
        </row>
        <row r="11">
          <cell r="F11">
            <v>0</v>
          </cell>
          <cell r="H11">
            <v>0</v>
          </cell>
        </row>
        <row r="12">
          <cell r="F12">
            <v>0</v>
          </cell>
          <cell r="H12">
            <v>0</v>
          </cell>
        </row>
        <row r="13">
          <cell r="F13">
            <v>0</v>
          </cell>
          <cell r="H13">
            <v>0</v>
          </cell>
        </row>
        <row r="14">
          <cell r="F14">
            <v>0</v>
          </cell>
          <cell r="H14">
            <v>0</v>
          </cell>
        </row>
        <row r="15">
          <cell r="F15">
            <v>0</v>
          </cell>
          <cell r="H15">
            <v>0</v>
          </cell>
        </row>
        <row r="16">
          <cell r="F16">
            <v>0</v>
          </cell>
          <cell r="H16">
            <v>0</v>
          </cell>
        </row>
        <row r="17">
          <cell r="F17">
            <v>0</v>
          </cell>
          <cell r="H17">
            <v>0</v>
          </cell>
        </row>
        <row r="18">
          <cell r="F18">
            <v>0</v>
          </cell>
          <cell r="H18">
            <v>0</v>
          </cell>
        </row>
        <row r="19">
          <cell r="F19">
            <v>0</v>
          </cell>
          <cell r="H19">
            <v>0</v>
          </cell>
        </row>
        <row r="20">
          <cell r="F20">
            <v>0</v>
          </cell>
          <cell r="H20">
            <v>0</v>
          </cell>
        </row>
        <row r="21">
          <cell r="F21">
            <v>0</v>
          </cell>
          <cell r="H21">
            <v>0</v>
          </cell>
        </row>
        <row r="22">
          <cell r="F22">
            <v>0</v>
          </cell>
          <cell r="H22">
            <v>0</v>
          </cell>
        </row>
        <row r="23">
          <cell r="F23">
            <v>0</v>
          </cell>
          <cell r="H23">
            <v>0</v>
          </cell>
        </row>
        <row r="24">
          <cell r="F24">
            <v>0</v>
          </cell>
          <cell r="H24">
            <v>0</v>
          </cell>
        </row>
        <row r="25">
          <cell r="F25">
            <v>0</v>
          </cell>
          <cell r="H25">
            <v>0</v>
          </cell>
        </row>
        <row r="26">
          <cell r="F26">
            <v>0</v>
          </cell>
          <cell r="H26">
            <v>0</v>
          </cell>
        </row>
        <row r="27">
          <cell r="F27">
            <v>0</v>
          </cell>
          <cell r="H27">
            <v>0</v>
          </cell>
        </row>
        <row r="28">
          <cell r="F28">
            <v>0</v>
          </cell>
          <cell r="H28">
            <v>0</v>
          </cell>
        </row>
        <row r="29">
          <cell r="F29">
            <v>0</v>
          </cell>
          <cell r="H29">
            <v>0</v>
          </cell>
        </row>
        <row r="30">
          <cell r="F30">
            <v>0</v>
          </cell>
          <cell r="H30">
            <v>0</v>
          </cell>
        </row>
        <row r="31">
          <cell r="F31">
            <v>0</v>
          </cell>
          <cell r="H31">
            <v>0</v>
          </cell>
        </row>
        <row r="32">
          <cell r="F32">
            <v>0</v>
          </cell>
          <cell r="H32">
            <v>0</v>
          </cell>
        </row>
        <row r="33">
          <cell r="F33">
            <v>0</v>
          </cell>
          <cell r="H33">
            <v>0</v>
          </cell>
        </row>
        <row r="34">
          <cell r="F34">
            <v>0</v>
          </cell>
          <cell r="H34">
            <v>0</v>
          </cell>
        </row>
        <row r="35">
          <cell r="F35">
            <v>0</v>
          </cell>
          <cell r="H35">
            <v>0</v>
          </cell>
        </row>
        <row r="36">
          <cell r="F36">
            <v>0</v>
          </cell>
          <cell r="H36">
            <v>0</v>
          </cell>
        </row>
        <row r="37">
          <cell r="F37">
            <v>0</v>
          </cell>
          <cell r="H37">
            <v>0</v>
          </cell>
        </row>
        <row r="38">
          <cell r="F38">
            <v>0</v>
          </cell>
          <cell r="H38">
            <v>0</v>
          </cell>
        </row>
        <row r="39">
          <cell r="F39">
            <v>0</v>
          </cell>
          <cell r="H39">
            <v>0</v>
          </cell>
        </row>
        <row r="40">
          <cell r="F40">
            <v>0</v>
          </cell>
          <cell r="H40">
            <v>0</v>
          </cell>
        </row>
        <row r="41">
          <cell r="F41">
            <v>0</v>
          </cell>
          <cell r="H41">
            <v>0</v>
          </cell>
        </row>
        <row r="42">
          <cell r="F42">
            <v>0</v>
          </cell>
          <cell r="H42">
            <v>0</v>
          </cell>
        </row>
        <row r="43">
          <cell r="F43">
            <v>0</v>
          </cell>
          <cell r="H43">
            <v>0</v>
          </cell>
        </row>
        <row r="44">
          <cell r="F44">
            <v>0</v>
          </cell>
          <cell r="H44">
            <v>0</v>
          </cell>
        </row>
        <row r="45">
          <cell r="F45">
            <v>0</v>
          </cell>
          <cell r="H45">
            <v>0</v>
          </cell>
        </row>
        <row r="46">
          <cell r="F46">
            <v>0</v>
          </cell>
          <cell r="H46">
            <v>0</v>
          </cell>
        </row>
        <row r="47">
          <cell r="F47">
            <v>0</v>
          </cell>
          <cell r="H47">
            <v>0</v>
          </cell>
        </row>
        <row r="48">
          <cell r="F48">
            <v>0</v>
          </cell>
          <cell r="H48">
            <v>0</v>
          </cell>
        </row>
        <row r="49">
          <cell r="F49">
            <v>0</v>
          </cell>
          <cell r="H49">
            <v>0</v>
          </cell>
        </row>
        <row r="50">
          <cell r="F50">
            <v>0</v>
          </cell>
          <cell r="H50">
            <v>0</v>
          </cell>
        </row>
        <row r="51">
          <cell r="F51">
            <v>0</v>
          </cell>
          <cell r="H51">
            <v>0</v>
          </cell>
        </row>
        <row r="52">
          <cell r="F52">
            <v>0</v>
          </cell>
          <cell r="H52">
            <v>0</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2:O143"/>
  <sheetViews>
    <sheetView showGridLines="0" zoomScaleNormal="100" workbookViewId="0">
      <selection activeCell="F38" sqref="F38"/>
    </sheetView>
  </sheetViews>
  <sheetFormatPr defaultRowHeight="12.75" x14ac:dyDescent="0.2"/>
  <cols>
    <col min="2" max="2" width="3.85546875" customWidth="1"/>
    <col min="3" max="3" width="3.28515625" customWidth="1"/>
    <col min="4" max="4" width="4.42578125" customWidth="1"/>
    <col min="5" max="5" width="17.85546875" customWidth="1"/>
    <col min="6" max="6" width="89.140625" customWidth="1"/>
  </cols>
  <sheetData>
    <row r="2" spans="2:6" x14ac:dyDescent="0.2">
      <c r="B2" s="32" t="s">
        <v>226</v>
      </c>
    </row>
    <row r="4" spans="2:6" x14ac:dyDescent="0.2">
      <c r="B4" s="32" t="s">
        <v>254</v>
      </c>
    </row>
    <row r="5" spans="2:6" x14ac:dyDescent="0.2">
      <c r="C5" t="s">
        <v>227</v>
      </c>
    </row>
    <row r="6" spans="2:6" x14ac:dyDescent="0.2">
      <c r="D6" t="s">
        <v>229</v>
      </c>
    </row>
    <row r="7" spans="2:6" x14ac:dyDescent="0.2">
      <c r="E7" s="573" t="s">
        <v>316</v>
      </c>
    </row>
    <row r="8" spans="2:6" x14ac:dyDescent="0.2">
      <c r="D8" s="573" t="s">
        <v>327</v>
      </c>
    </row>
    <row r="9" spans="2:6" x14ac:dyDescent="0.2">
      <c r="E9" s="573" t="s">
        <v>594</v>
      </c>
      <c r="F9" t="s">
        <v>233</v>
      </c>
    </row>
    <row r="10" spans="2:6" x14ac:dyDescent="0.2">
      <c r="E10" s="573" t="s">
        <v>595</v>
      </c>
      <c r="F10" t="s">
        <v>234</v>
      </c>
    </row>
    <row r="11" spans="2:6" x14ac:dyDescent="0.2">
      <c r="E11" s="573" t="s">
        <v>596</v>
      </c>
      <c r="F11" t="s">
        <v>232</v>
      </c>
    </row>
    <row r="12" spans="2:6" x14ac:dyDescent="0.2">
      <c r="E12" s="573" t="s">
        <v>597</v>
      </c>
      <c r="F12" t="s">
        <v>228</v>
      </c>
    </row>
    <row r="13" spans="2:6" x14ac:dyDescent="0.2">
      <c r="D13" t="s">
        <v>230</v>
      </c>
    </row>
    <row r="14" spans="2:6" x14ac:dyDescent="0.2">
      <c r="D14" t="s">
        <v>235</v>
      </c>
    </row>
    <row r="15" spans="2:6" x14ac:dyDescent="0.2">
      <c r="D15" t="s">
        <v>579</v>
      </c>
    </row>
    <row r="16" spans="2:6" x14ac:dyDescent="0.2">
      <c r="E16" s="573" t="s">
        <v>598</v>
      </c>
      <c r="F16" t="s">
        <v>65</v>
      </c>
    </row>
    <row r="17" spans="2:6" x14ac:dyDescent="0.2">
      <c r="E17" s="573" t="s">
        <v>599</v>
      </c>
      <c r="F17" t="s">
        <v>66</v>
      </c>
    </row>
    <row r="18" spans="2:6" x14ac:dyDescent="0.2">
      <c r="E18" s="573" t="s">
        <v>600</v>
      </c>
      <c r="F18" t="s">
        <v>67</v>
      </c>
    </row>
    <row r="19" spans="2:6" x14ac:dyDescent="0.2">
      <c r="E19" s="573" t="s">
        <v>602</v>
      </c>
      <c r="F19" t="s">
        <v>64</v>
      </c>
    </row>
    <row r="20" spans="2:6" x14ac:dyDescent="0.2">
      <c r="E20" s="573" t="s">
        <v>601</v>
      </c>
      <c r="F20" t="s">
        <v>62</v>
      </c>
    </row>
    <row r="21" spans="2:6" x14ac:dyDescent="0.2">
      <c r="E21" s="573" t="s">
        <v>603</v>
      </c>
      <c r="F21" t="s">
        <v>63</v>
      </c>
    </row>
    <row r="22" spans="2:6" x14ac:dyDescent="0.2">
      <c r="D22" s="574" t="s">
        <v>350</v>
      </c>
    </row>
    <row r="23" spans="2:6" x14ac:dyDescent="0.2">
      <c r="D23" s="574" t="s">
        <v>351</v>
      </c>
    </row>
    <row r="24" spans="2:6" x14ac:dyDescent="0.2">
      <c r="E24" s="573" t="s">
        <v>604</v>
      </c>
      <c r="F24" t="s">
        <v>231</v>
      </c>
    </row>
    <row r="25" spans="2:6" x14ac:dyDescent="0.2">
      <c r="E25" s="701" t="s">
        <v>245</v>
      </c>
      <c r="F25" s="701" t="s">
        <v>236</v>
      </c>
    </row>
    <row r="26" spans="2:6" x14ac:dyDescent="0.2">
      <c r="E26" s="701" t="s">
        <v>245</v>
      </c>
      <c r="F26" s="701" t="s">
        <v>237</v>
      </c>
    </row>
    <row r="27" spans="2:6" x14ac:dyDescent="0.2">
      <c r="E27" s="573" t="s">
        <v>605</v>
      </c>
      <c r="F27" t="s">
        <v>238</v>
      </c>
    </row>
    <row r="28" spans="2:6" x14ac:dyDescent="0.2">
      <c r="C28" s="33" t="s">
        <v>328</v>
      </c>
    </row>
    <row r="31" spans="2:6" x14ac:dyDescent="0.2">
      <c r="B31" s="32" t="s">
        <v>255</v>
      </c>
    </row>
    <row r="32" spans="2:6" x14ac:dyDescent="0.2">
      <c r="C32" s="33" t="s">
        <v>239</v>
      </c>
      <c r="D32" s="33"/>
      <c r="E32" s="33"/>
      <c r="F32" s="33"/>
    </row>
    <row r="33" spans="3:6" x14ac:dyDescent="0.2">
      <c r="C33" t="s">
        <v>247</v>
      </c>
    </row>
    <row r="34" spans="3:6" x14ac:dyDescent="0.2">
      <c r="E34" s="573" t="s">
        <v>606</v>
      </c>
      <c r="F34" s="573" t="s">
        <v>317</v>
      </c>
    </row>
    <row r="35" spans="3:6" x14ac:dyDescent="0.2">
      <c r="F35" t="s">
        <v>246</v>
      </c>
    </row>
    <row r="36" spans="3:6" x14ac:dyDescent="0.2">
      <c r="D36" t="s">
        <v>248</v>
      </c>
    </row>
    <row r="37" spans="3:6" x14ac:dyDescent="0.2">
      <c r="E37" s="573" t="s">
        <v>607</v>
      </c>
      <c r="F37" t="s">
        <v>244</v>
      </c>
    </row>
    <row r="38" spans="3:6" x14ac:dyDescent="0.2">
      <c r="E38" s="573" t="s">
        <v>608</v>
      </c>
      <c r="F38" t="s">
        <v>253</v>
      </c>
    </row>
    <row r="39" spans="3:6" x14ac:dyDescent="0.2">
      <c r="F39" t="s">
        <v>240</v>
      </c>
    </row>
    <row r="40" spans="3:6" x14ac:dyDescent="0.2">
      <c r="E40" s="573" t="s">
        <v>609</v>
      </c>
      <c r="F40" t="s">
        <v>243</v>
      </c>
    </row>
    <row r="41" spans="3:6" x14ac:dyDescent="0.2">
      <c r="F41" t="s">
        <v>241</v>
      </c>
    </row>
    <row r="42" spans="3:6" x14ac:dyDescent="0.2">
      <c r="E42" s="573" t="s">
        <v>610</v>
      </c>
      <c r="F42" t="s">
        <v>242</v>
      </c>
    </row>
    <row r="44" spans="3:6" x14ac:dyDescent="0.2">
      <c r="C44" s="33" t="s">
        <v>249</v>
      </c>
    </row>
    <row r="45" spans="3:6" x14ac:dyDescent="0.2">
      <c r="C45" t="s">
        <v>250</v>
      </c>
    </row>
    <row r="46" spans="3:6" x14ac:dyDescent="0.2">
      <c r="D46" t="s">
        <v>258</v>
      </c>
    </row>
    <row r="47" spans="3:6" x14ac:dyDescent="0.2">
      <c r="E47" s="573" t="s">
        <v>607</v>
      </c>
      <c r="F47" t="s">
        <v>244</v>
      </c>
    </row>
    <row r="48" spans="3:6" x14ac:dyDescent="0.2">
      <c r="E48" s="573" t="s">
        <v>611</v>
      </c>
      <c r="F48" t="s">
        <v>252</v>
      </c>
    </row>
    <row r="49" spans="3:6" x14ac:dyDescent="0.2">
      <c r="E49" s="573" t="s">
        <v>612</v>
      </c>
      <c r="F49" s="573" t="s">
        <v>318</v>
      </c>
    </row>
    <row r="51" spans="3:6" x14ac:dyDescent="0.2">
      <c r="C51" s="33" t="s">
        <v>256</v>
      </c>
    </row>
    <row r="52" spans="3:6" x14ac:dyDescent="0.2">
      <c r="C52" t="s">
        <v>257</v>
      </c>
    </row>
    <row r="53" spans="3:6" x14ac:dyDescent="0.2">
      <c r="D53" t="s">
        <v>251</v>
      </c>
    </row>
    <row r="54" spans="3:6" x14ac:dyDescent="0.2">
      <c r="D54" s="573" t="s">
        <v>319</v>
      </c>
    </row>
    <row r="55" spans="3:6" x14ac:dyDescent="0.2">
      <c r="E55" s="573" t="s">
        <v>656</v>
      </c>
      <c r="F55" t="s">
        <v>259</v>
      </c>
    </row>
    <row r="56" spans="3:6" x14ac:dyDescent="0.2">
      <c r="E56" s="573" t="s">
        <v>613</v>
      </c>
      <c r="F56" s="573" t="s">
        <v>320</v>
      </c>
    </row>
    <row r="57" spans="3:6" x14ac:dyDescent="0.2">
      <c r="F57" s="573" t="s">
        <v>321</v>
      </c>
    </row>
    <row r="59" spans="3:6" x14ac:dyDescent="0.2">
      <c r="C59" s="33" t="s">
        <v>260</v>
      </c>
    </row>
    <row r="60" spans="3:6" x14ac:dyDescent="0.2">
      <c r="C60" t="s">
        <v>261</v>
      </c>
    </row>
    <row r="61" spans="3:6" x14ac:dyDescent="0.2">
      <c r="E61" s="573" t="s">
        <v>614</v>
      </c>
      <c r="F61" s="573" t="s">
        <v>322</v>
      </c>
    </row>
    <row r="62" spans="3:6" x14ac:dyDescent="0.2">
      <c r="F62" s="573" t="s">
        <v>329</v>
      </c>
    </row>
    <row r="63" spans="3:6" x14ac:dyDescent="0.2">
      <c r="D63" t="s">
        <v>251</v>
      </c>
    </row>
    <row r="64" spans="3:6" x14ac:dyDescent="0.2">
      <c r="D64" s="573" t="s">
        <v>319</v>
      </c>
    </row>
    <row r="65" spans="2:6" x14ac:dyDescent="0.2">
      <c r="E65" s="573" t="s">
        <v>613</v>
      </c>
      <c r="F65" s="573" t="s">
        <v>320</v>
      </c>
    </row>
    <row r="66" spans="2:6" x14ac:dyDescent="0.2">
      <c r="F66" s="573" t="s">
        <v>323</v>
      </c>
    </row>
    <row r="68" spans="2:6" x14ac:dyDescent="0.2">
      <c r="C68" s="33" t="s">
        <v>330</v>
      </c>
    </row>
    <row r="69" spans="2:6" x14ac:dyDescent="0.2">
      <c r="C69" s="33"/>
    </row>
    <row r="71" spans="2:6" x14ac:dyDescent="0.2">
      <c r="B71" s="32" t="s">
        <v>262</v>
      </c>
    </row>
    <row r="72" spans="2:6" x14ac:dyDescent="0.2">
      <c r="C72" t="s">
        <v>263</v>
      </c>
    </row>
    <row r="73" spans="2:6" x14ac:dyDescent="0.2">
      <c r="D73" t="s">
        <v>264</v>
      </c>
    </row>
    <row r="74" spans="2:6" x14ac:dyDescent="0.2">
      <c r="E74" s="573" t="s">
        <v>615</v>
      </c>
      <c r="F74" t="s">
        <v>266</v>
      </c>
    </row>
    <row r="75" spans="2:6" x14ac:dyDescent="0.2">
      <c r="E75" s="573" t="s">
        <v>616</v>
      </c>
      <c r="F75" t="s">
        <v>267</v>
      </c>
    </row>
    <row r="76" spans="2:6" x14ac:dyDescent="0.2">
      <c r="E76" s="573" t="s">
        <v>617</v>
      </c>
      <c r="F76" t="s">
        <v>268</v>
      </c>
    </row>
    <row r="77" spans="2:6" x14ac:dyDescent="0.2">
      <c r="E77" s="573" t="s">
        <v>618</v>
      </c>
      <c r="F77" t="s">
        <v>269</v>
      </c>
    </row>
    <row r="78" spans="2:6" x14ac:dyDescent="0.2">
      <c r="E78" s="573" t="s">
        <v>619</v>
      </c>
      <c r="F78" t="s">
        <v>270</v>
      </c>
    </row>
    <row r="79" spans="2:6" x14ac:dyDescent="0.2">
      <c r="D79" t="s">
        <v>265</v>
      </c>
    </row>
    <row r="80" spans="2:6" x14ac:dyDescent="0.2">
      <c r="D80" t="s">
        <v>271</v>
      </c>
    </row>
    <row r="81" spans="2:15" x14ac:dyDescent="0.2">
      <c r="E81" s="573" t="s">
        <v>620</v>
      </c>
      <c r="F81" t="s">
        <v>272</v>
      </c>
    </row>
    <row r="82" spans="2:15" x14ac:dyDescent="0.2">
      <c r="E82" s="573" t="s">
        <v>621</v>
      </c>
      <c r="F82" t="s">
        <v>273</v>
      </c>
    </row>
    <row r="83" spans="2:15" x14ac:dyDescent="0.2">
      <c r="E83" s="573" t="s">
        <v>622</v>
      </c>
      <c r="F83" t="s">
        <v>274</v>
      </c>
    </row>
    <row r="84" spans="2:15" x14ac:dyDescent="0.2">
      <c r="E84" s="573" t="s">
        <v>624</v>
      </c>
      <c r="F84" s="573" t="s">
        <v>623</v>
      </c>
    </row>
    <row r="85" spans="2:15" x14ac:dyDescent="0.2">
      <c r="E85" s="573" t="s">
        <v>625</v>
      </c>
      <c r="F85" t="s">
        <v>275</v>
      </c>
    </row>
    <row r="86" spans="2:15" x14ac:dyDescent="0.2">
      <c r="E86" s="573" t="s">
        <v>626</v>
      </c>
      <c r="F86" t="s">
        <v>276</v>
      </c>
    </row>
    <row r="87" spans="2:15" x14ac:dyDescent="0.2">
      <c r="E87" s="573" t="s">
        <v>627</v>
      </c>
      <c r="F87" t="s">
        <v>259</v>
      </c>
    </row>
    <row r="91" spans="2:15" x14ac:dyDescent="0.2">
      <c r="B91" s="32" t="s">
        <v>278</v>
      </c>
      <c r="C91" s="32"/>
      <c r="D91" s="32"/>
      <c r="E91" s="32"/>
      <c r="F91" s="32"/>
      <c r="G91" s="32"/>
      <c r="H91" s="32"/>
      <c r="I91" s="32"/>
      <c r="J91" s="32"/>
      <c r="K91" s="32"/>
      <c r="L91" s="32"/>
      <c r="M91" s="32"/>
      <c r="N91" s="32"/>
      <c r="O91" s="32"/>
    </row>
    <row r="92" spans="2:15" x14ac:dyDescent="0.2">
      <c r="C92" t="s">
        <v>279</v>
      </c>
    </row>
    <row r="93" spans="2:15" x14ac:dyDescent="0.2">
      <c r="D93" t="s">
        <v>280</v>
      </c>
    </row>
    <row r="94" spans="2:15" x14ac:dyDescent="0.2">
      <c r="E94" s="573" t="s">
        <v>628</v>
      </c>
      <c r="F94" s="573" t="s">
        <v>587</v>
      </c>
    </row>
    <row r="95" spans="2:15" x14ac:dyDescent="0.2">
      <c r="E95" s="573" t="s">
        <v>629</v>
      </c>
      <c r="F95" s="573" t="s">
        <v>588</v>
      </c>
    </row>
    <row r="96" spans="2:15" x14ac:dyDescent="0.2">
      <c r="E96" s="573" t="s">
        <v>630</v>
      </c>
      <c r="F96" s="573" t="s">
        <v>589</v>
      </c>
    </row>
    <row r="97" spans="4:6" x14ac:dyDescent="0.2">
      <c r="D97" t="s">
        <v>281</v>
      </c>
    </row>
    <row r="98" spans="4:6" x14ac:dyDescent="0.2">
      <c r="D98" t="s">
        <v>282</v>
      </c>
    </row>
    <row r="99" spans="4:6" x14ac:dyDescent="0.2">
      <c r="E99" s="573" t="s">
        <v>631</v>
      </c>
      <c r="F99" s="573" t="s">
        <v>583</v>
      </c>
    </row>
    <row r="100" spans="4:6" x14ac:dyDescent="0.2">
      <c r="E100" s="573" t="s">
        <v>632</v>
      </c>
      <c r="F100" s="573" t="s">
        <v>633</v>
      </c>
    </row>
    <row r="101" spans="4:6" x14ac:dyDescent="0.2">
      <c r="D101" t="s">
        <v>283</v>
      </c>
    </row>
    <row r="102" spans="4:6" x14ac:dyDescent="0.2">
      <c r="E102" s="573" t="s">
        <v>634</v>
      </c>
      <c r="F102" t="s">
        <v>284</v>
      </c>
    </row>
    <row r="103" spans="4:6" x14ac:dyDescent="0.2">
      <c r="E103" s="573" t="s">
        <v>635</v>
      </c>
      <c r="F103" t="s">
        <v>285</v>
      </c>
    </row>
    <row r="104" spans="4:6" x14ac:dyDescent="0.2">
      <c r="E104" s="573" t="s">
        <v>636</v>
      </c>
      <c r="F104" t="s">
        <v>286</v>
      </c>
    </row>
    <row r="105" spans="4:6" x14ac:dyDescent="0.2">
      <c r="E105" s="573" t="s">
        <v>637</v>
      </c>
      <c r="F105" s="573" t="s">
        <v>584</v>
      </c>
    </row>
    <row r="106" spans="4:6" x14ac:dyDescent="0.2">
      <c r="E106" s="573" t="s">
        <v>638</v>
      </c>
      <c r="F106" t="s">
        <v>287</v>
      </c>
    </row>
    <row r="107" spans="4:6" x14ac:dyDescent="0.2">
      <c r="E107" s="573" t="s">
        <v>639</v>
      </c>
      <c r="F107" s="573" t="s">
        <v>331</v>
      </c>
    </row>
    <row r="108" spans="4:6" x14ac:dyDescent="0.2">
      <c r="D108" t="s">
        <v>288</v>
      </c>
    </row>
    <row r="109" spans="4:6" x14ac:dyDescent="0.2">
      <c r="E109" s="573" t="s">
        <v>640</v>
      </c>
      <c r="F109" t="s">
        <v>290</v>
      </c>
    </row>
    <row r="110" spans="4:6" x14ac:dyDescent="0.2">
      <c r="E110" s="573" t="s">
        <v>641</v>
      </c>
      <c r="F110" t="s">
        <v>291</v>
      </c>
    </row>
    <row r="111" spans="4:6" x14ac:dyDescent="0.2">
      <c r="E111" s="573" t="s">
        <v>642</v>
      </c>
      <c r="F111" t="s">
        <v>292</v>
      </c>
    </row>
    <row r="112" spans="4:6" x14ac:dyDescent="0.2">
      <c r="E112" s="573" t="s">
        <v>643</v>
      </c>
      <c r="F112" s="573" t="s">
        <v>324</v>
      </c>
    </row>
    <row r="113" spans="2:6" x14ac:dyDescent="0.2">
      <c r="E113" s="573" t="s">
        <v>644</v>
      </c>
      <c r="F113" t="s">
        <v>289</v>
      </c>
    </row>
    <row r="115" spans="2:6" x14ac:dyDescent="0.2">
      <c r="C115" t="s">
        <v>293</v>
      </c>
    </row>
    <row r="116" spans="2:6" x14ac:dyDescent="0.2">
      <c r="C116" s="33" t="s">
        <v>294</v>
      </c>
    </row>
    <row r="118" spans="2:6" x14ac:dyDescent="0.2">
      <c r="B118" s="32" t="s">
        <v>295</v>
      </c>
    </row>
    <row r="119" spans="2:6" x14ac:dyDescent="0.2">
      <c r="C119" t="s">
        <v>296</v>
      </c>
    </row>
    <row r="120" spans="2:6" x14ac:dyDescent="0.2">
      <c r="D120" s="573" t="s">
        <v>645</v>
      </c>
    </row>
    <row r="121" spans="2:6" x14ac:dyDescent="0.2">
      <c r="D121" s="573" t="s">
        <v>646</v>
      </c>
    </row>
    <row r="122" spans="2:6" x14ac:dyDescent="0.2">
      <c r="D122" t="s">
        <v>301</v>
      </c>
    </row>
    <row r="123" spans="2:6" x14ac:dyDescent="0.2">
      <c r="D123" s="33" t="s">
        <v>297</v>
      </c>
    </row>
    <row r="125" spans="2:6" x14ac:dyDescent="0.2">
      <c r="B125" s="32" t="s">
        <v>298</v>
      </c>
    </row>
    <row r="126" spans="2:6" x14ac:dyDescent="0.2">
      <c r="C126" t="s">
        <v>299</v>
      </c>
    </row>
    <row r="127" spans="2:6" x14ac:dyDescent="0.2">
      <c r="D127" t="s">
        <v>302</v>
      </c>
    </row>
    <row r="128" spans="2:6" x14ac:dyDescent="0.2">
      <c r="D128" t="s">
        <v>303</v>
      </c>
    </row>
    <row r="129" spans="3:6" x14ac:dyDescent="0.2">
      <c r="D129" t="s">
        <v>306</v>
      </c>
    </row>
    <row r="130" spans="3:6" x14ac:dyDescent="0.2">
      <c r="E130" s="573" t="s">
        <v>647</v>
      </c>
      <c r="F130" t="s">
        <v>300</v>
      </c>
    </row>
    <row r="131" spans="3:6" x14ac:dyDescent="0.2">
      <c r="E131" s="573" t="s">
        <v>648</v>
      </c>
      <c r="F131" s="573" t="s">
        <v>325</v>
      </c>
    </row>
    <row r="132" spans="3:6" x14ac:dyDescent="0.2">
      <c r="E132" s="573" t="s">
        <v>585</v>
      </c>
      <c r="F132" s="573" t="s">
        <v>326</v>
      </c>
    </row>
    <row r="133" spans="3:6" x14ac:dyDescent="0.2">
      <c r="E133" s="573" t="s">
        <v>649</v>
      </c>
      <c r="F133" s="573" t="s">
        <v>586</v>
      </c>
    </row>
    <row r="134" spans="3:6" x14ac:dyDescent="0.2">
      <c r="E134" s="573" t="s">
        <v>650</v>
      </c>
      <c r="F134" s="573" t="s">
        <v>651</v>
      </c>
    </row>
    <row r="135" spans="3:6" x14ac:dyDescent="0.2">
      <c r="E135" s="573" t="s">
        <v>652</v>
      </c>
      <c r="F135" t="s">
        <v>305</v>
      </c>
    </row>
    <row r="136" spans="3:6" x14ac:dyDescent="0.2">
      <c r="D136" s="573" t="s">
        <v>655</v>
      </c>
    </row>
    <row r="137" spans="3:6" x14ac:dyDescent="0.2">
      <c r="E137" s="573" t="s">
        <v>631</v>
      </c>
      <c r="F137" t="s">
        <v>307</v>
      </c>
    </row>
    <row r="138" spans="3:6" x14ac:dyDescent="0.2">
      <c r="E138" s="573" t="s">
        <v>653</v>
      </c>
      <c r="F138" t="s">
        <v>308</v>
      </c>
    </row>
    <row r="139" spans="3:6" x14ac:dyDescent="0.2">
      <c r="E139" s="573" t="s">
        <v>636</v>
      </c>
      <c r="F139" t="s">
        <v>309</v>
      </c>
    </row>
    <row r="140" spans="3:6" x14ac:dyDescent="0.2">
      <c r="E140" s="573" t="s">
        <v>654</v>
      </c>
      <c r="F140" t="s">
        <v>310</v>
      </c>
    </row>
    <row r="141" spans="3:6" x14ac:dyDescent="0.2">
      <c r="E141" s="573" t="s">
        <v>637</v>
      </c>
      <c r="F141" t="s">
        <v>312</v>
      </c>
    </row>
    <row r="143" spans="3:6" x14ac:dyDescent="0.2">
      <c r="C143" s="33" t="s">
        <v>311</v>
      </c>
    </row>
  </sheetData>
  <phoneticPr fontId="1" type="noConversion"/>
  <pageMargins left="0.75" right="0.75" top="1" bottom="1" header="0" footer="0"/>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9"/>
  <dimension ref="A1:BF30"/>
  <sheetViews>
    <sheetView showGridLines="0" topLeftCell="A3" zoomScaleNormal="100" workbookViewId="0">
      <selection activeCell="H7" sqref="H7:L22"/>
    </sheetView>
  </sheetViews>
  <sheetFormatPr defaultColWidth="9.140625" defaultRowHeight="12.75" x14ac:dyDescent="0.2"/>
  <cols>
    <col min="1" max="1" width="3.5703125" style="154" customWidth="1"/>
    <col min="2" max="2" width="5.42578125" style="155" customWidth="1"/>
    <col min="3" max="3" width="8.7109375" style="155" customWidth="1"/>
    <col min="4" max="4" width="10.140625" style="155" customWidth="1"/>
    <col min="5" max="5" width="7.7109375" style="155" customWidth="1"/>
    <col min="6" max="6" width="7.7109375" style="158" customWidth="1"/>
    <col min="7" max="7" width="10.85546875" style="158" customWidth="1"/>
    <col min="8" max="8" width="8.7109375" style="155" customWidth="1"/>
    <col min="9" max="9" width="10.140625" style="155" customWidth="1"/>
    <col min="10" max="11" width="7.7109375" style="155" customWidth="1"/>
    <col min="12" max="12" width="10.85546875" style="155" customWidth="1"/>
    <col min="13" max="13" width="8.7109375" style="155" customWidth="1"/>
    <col min="14" max="14" width="10.140625" style="155" customWidth="1"/>
    <col min="15" max="15" width="7.7109375" style="155" customWidth="1"/>
    <col min="16" max="16" width="7.7109375" style="158" customWidth="1"/>
    <col min="17" max="17" width="10.85546875" style="158" customWidth="1"/>
    <col min="18" max="18" width="8.7109375" style="155" customWidth="1"/>
    <col min="19" max="19" width="10.140625" style="155" customWidth="1"/>
    <col min="20" max="20" width="7.7109375" style="155" customWidth="1"/>
    <col min="21" max="21" width="7.7109375" style="158" customWidth="1"/>
    <col min="22" max="22" width="10.85546875" style="158" customWidth="1"/>
    <col min="23" max="23" width="8.7109375" style="155" customWidth="1"/>
    <col min="24" max="24" width="10.140625" style="155" customWidth="1"/>
    <col min="25" max="25" width="7.7109375" style="155" customWidth="1"/>
    <col min="26" max="26" width="7.7109375" style="158" customWidth="1"/>
    <col min="27" max="27" width="10.85546875" style="158" customWidth="1"/>
    <col min="28" max="28" width="3.85546875" style="162" customWidth="1"/>
    <col min="29" max="32" width="9.140625" style="162"/>
    <col min="33" max="34" width="9.140625" style="161"/>
    <col min="35" max="16384" width="9.140625" style="154"/>
  </cols>
  <sheetData>
    <row r="1" spans="1:58" ht="15.75" hidden="1" customHeight="1" x14ac:dyDescent="0.2">
      <c r="D1" s="154"/>
      <c r="E1" s="156"/>
      <c r="F1" s="498"/>
      <c r="G1" s="498"/>
      <c r="I1" s="154"/>
      <c r="J1" s="156"/>
      <c r="K1" s="156"/>
      <c r="L1" s="156"/>
      <c r="N1" s="154"/>
      <c r="O1" s="156"/>
      <c r="P1" s="498"/>
      <c r="Q1" s="498"/>
      <c r="S1" s="154"/>
      <c r="T1" s="156"/>
      <c r="U1" s="498"/>
      <c r="V1" s="498"/>
      <c r="X1" s="154"/>
      <c r="Y1" s="156"/>
      <c r="Z1" s="498"/>
      <c r="AA1" s="498"/>
    </row>
    <row r="2" spans="1:58" ht="15.75" hidden="1" customHeight="1" x14ac:dyDescent="0.2">
      <c r="E2" s="156"/>
      <c r="F2" s="498"/>
      <c r="G2" s="498"/>
      <c r="J2" s="156"/>
      <c r="K2" s="156"/>
      <c r="L2" s="156"/>
      <c r="O2" s="156"/>
      <c r="P2" s="498"/>
      <c r="Q2" s="498"/>
      <c r="T2" s="156"/>
      <c r="U2" s="498"/>
      <c r="V2" s="498"/>
      <c r="Y2" s="156"/>
      <c r="Z2" s="498"/>
      <c r="AA2" s="498"/>
    </row>
    <row r="3" spans="1:58" ht="15.75" customHeight="1" x14ac:dyDescent="0.2">
      <c r="G3" s="167"/>
      <c r="L3" s="154"/>
      <c r="Q3" s="167"/>
      <c r="V3" s="167"/>
      <c r="AA3" s="167"/>
    </row>
    <row r="4" spans="1:58" ht="15.75" customHeight="1" x14ac:dyDescent="0.2">
      <c r="B4" s="163"/>
      <c r="C4" s="532" t="s">
        <v>162</v>
      </c>
      <c r="D4" s="164">
        <f>KPI!C3</f>
        <v>2017</v>
      </c>
      <c r="E4" s="165"/>
      <c r="F4" s="167"/>
      <c r="G4" s="167"/>
      <c r="H4" s="154"/>
      <c r="I4" s="154"/>
      <c r="J4" s="154"/>
      <c r="K4" s="154"/>
      <c r="L4" s="154"/>
      <c r="M4" s="154"/>
      <c r="N4" s="154"/>
      <c r="O4" s="154"/>
      <c r="P4" s="167"/>
      <c r="Q4" s="167"/>
      <c r="R4" s="154"/>
      <c r="S4" s="154"/>
      <c r="T4" s="154"/>
      <c r="U4" s="167"/>
      <c r="V4" s="167"/>
      <c r="W4" s="154"/>
      <c r="X4" s="154"/>
      <c r="Y4" s="154"/>
      <c r="Z4" s="167"/>
      <c r="AA4" s="167"/>
    </row>
    <row r="5" spans="1:58" ht="11.25" customHeight="1" x14ac:dyDescent="0.2">
      <c r="B5" s="154"/>
      <c r="C5" s="154"/>
      <c r="D5" s="166"/>
      <c r="E5" s="154"/>
      <c r="F5" s="167"/>
      <c r="G5" s="167"/>
      <c r="H5" s="154"/>
      <c r="I5" s="166"/>
      <c r="J5" s="154"/>
      <c r="K5" s="154"/>
      <c r="L5" s="154"/>
      <c r="M5" s="154"/>
      <c r="N5" s="166"/>
      <c r="O5" s="154"/>
      <c r="P5" s="167"/>
      <c r="Q5" s="167"/>
      <c r="R5" s="154"/>
      <c r="S5" s="166"/>
      <c r="T5" s="154"/>
      <c r="U5" s="167"/>
      <c r="V5" s="167"/>
      <c r="W5" s="154"/>
      <c r="X5" s="166"/>
      <c r="Y5" s="154"/>
      <c r="Z5" s="167"/>
      <c r="AA5" s="167"/>
    </row>
    <row r="6" spans="1:58" s="168" customFormat="1" ht="30" customHeight="1" thickBot="1" x14ac:dyDescent="0.25">
      <c r="B6" s="795" t="s">
        <v>161</v>
      </c>
      <c r="C6" s="796"/>
      <c r="D6" s="796"/>
      <c r="E6" s="796"/>
      <c r="F6" s="796"/>
      <c r="G6" s="796"/>
      <c r="H6" s="797" t="s">
        <v>591</v>
      </c>
      <c r="I6" s="797"/>
      <c r="J6" s="797"/>
      <c r="K6" s="797"/>
      <c r="L6" s="797"/>
      <c r="M6" s="797"/>
      <c r="N6" s="797"/>
      <c r="O6" s="797"/>
      <c r="P6" s="797"/>
      <c r="Q6" s="797"/>
      <c r="R6" s="170"/>
      <c r="S6" s="170"/>
      <c r="T6" s="170"/>
      <c r="U6" s="171"/>
      <c r="V6" s="171"/>
      <c r="W6" s="170"/>
      <c r="X6" s="170"/>
      <c r="Y6" s="170"/>
      <c r="Z6" s="171"/>
      <c r="AA6" s="171"/>
      <c r="AB6" s="162"/>
      <c r="AC6" s="162"/>
      <c r="AD6" s="162"/>
      <c r="AE6" s="162"/>
      <c r="AF6" s="162"/>
      <c r="AG6" s="161"/>
      <c r="AH6" s="161"/>
      <c r="AI6" s="154"/>
    </row>
    <row r="7" spans="1:58" s="174" customFormat="1" ht="16.5" customHeight="1" x14ac:dyDescent="0.2">
      <c r="B7" s="175"/>
      <c r="C7" s="681">
        <f>D4</f>
        <v>2017</v>
      </c>
      <c r="D7" s="682"/>
      <c r="E7" s="682"/>
      <c r="F7" s="682"/>
      <c r="G7" s="683"/>
      <c r="H7" s="485">
        <v>2017</v>
      </c>
      <c r="I7" s="486"/>
      <c r="J7" s="486"/>
      <c r="K7" s="486"/>
      <c r="L7" s="487"/>
      <c r="M7" s="485"/>
      <c r="N7" s="486"/>
      <c r="O7" s="486"/>
      <c r="P7" s="539"/>
      <c r="Q7" s="540"/>
      <c r="R7" s="485"/>
      <c r="S7" s="486"/>
      <c r="T7" s="486"/>
      <c r="U7" s="539"/>
      <c r="V7" s="540"/>
      <c r="W7" s="485"/>
      <c r="X7" s="486"/>
      <c r="Y7" s="486"/>
      <c r="Z7" s="539"/>
      <c r="AA7" s="540"/>
      <c r="AB7" s="162"/>
      <c r="AC7" s="162"/>
      <c r="AD7" s="162"/>
      <c r="AE7" s="162"/>
      <c r="AF7" s="162"/>
      <c r="AG7" s="161"/>
      <c r="AH7" s="161"/>
      <c r="AI7" s="154"/>
    </row>
    <row r="8" spans="1:58" s="184" customFormat="1" ht="49.5" customHeight="1" thickBot="1" x14ac:dyDescent="0.25">
      <c r="B8" s="185"/>
      <c r="C8" s="684" t="str">
        <f>C24&amp;" "&amp;$C$7</f>
        <v>Electricity 2017</v>
      </c>
      <c r="D8" s="685" t="str">
        <f>D24&amp;" "&amp;$C$7</f>
        <v>Total Fuel 2017</v>
      </c>
      <c r="E8" s="685" t="str">
        <f>E24&amp;" "&amp;$C$7</f>
        <v>Total Energy Cost 2017</v>
      </c>
      <c r="F8" s="686" t="str">
        <f>F24&amp;" "&amp;$C$7</f>
        <v>Total CO2 2017</v>
      </c>
      <c r="G8" s="687" t="str">
        <f>G24&amp;" "&amp;$C$7</f>
        <v>KPI Combined 2017</v>
      </c>
      <c r="H8" s="488" t="s">
        <v>699</v>
      </c>
      <c r="I8" s="489" t="s">
        <v>700</v>
      </c>
      <c r="J8" s="489" t="s">
        <v>701</v>
      </c>
      <c r="K8" s="489" t="s">
        <v>702</v>
      </c>
      <c r="L8" s="490" t="s">
        <v>703</v>
      </c>
      <c r="M8" s="488"/>
      <c r="N8" s="489"/>
      <c r="O8" s="489"/>
      <c r="P8" s="541"/>
      <c r="Q8" s="542"/>
      <c r="R8" s="488"/>
      <c r="S8" s="489"/>
      <c r="T8" s="489"/>
      <c r="U8" s="541"/>
      <c r="V8" s="542"/>
      <c r="W8" s="488"/>
      <c r="X8" s="489"/>
      <c r="Y8" s="489"/>
      <c r="Z8" s="541"/>
      <c r="AA8" s="542"/>
      <c r="AB8" s="162"/>
      <c r="AC8" s="162"/>
      <c r="AD8" s="162"/>
      <c r="AE8" s="162"/>
      <c r="AF8" s="162"/>
      <c r="AG8" s="161"/>
      <c r="AH8" s="161"/>
      <c r="AI8" s="154"/>
    </row>
    <row r="9" spans="1:58" s="155" customFormat="1" ht="14.25" customHeight="1" thickBot="1" x14ac:dyDescent="0.25">
      <c r="B9" s="193"/>
      <c r="C9" s="688" t="str">
        <f>C25</f>
        <v>[kWh]</v>
      </c>
      <c r="D9" s="689" t="str">
        <f>D25</f>
        <v>[kWh]</v>
      </c>
      <c r="E9" s="690" t="str">
        <f>"["&amp;Start!$O$7&amp;"]"</f>
        <v>[$]</v>
      </c>
      <c r="F9" s="691" t="str">
        <f>F25</f>
        <v>[tCO2]</v>
      </c>
      <c r="G9" s="692" t="str">
        <f>G25</f>
        <v>[Ton]</v>
      </c>
      <c r="H9" s="491" t="s">
        <v>13</v>
      </c>
      <c r="I9" s="492" t="s">
        <v>13</v>
      </c>
      <c r="J9" s="492" t="s">
        <v>704</v>
      </c>
      <c r="K9" s="492" t="s">
        <v>72</v>
      </c>
      <c r="L9" s="493" t="s">
        <v>705</v>
      </c>
      <c r="M9" s="491"/>
      <c r="N9" s="492"/>
      <c r="O9" s="492"/>
      <c r="P9" s="543"/>
      <c r="Q9" s="544"/>
      <c r="R9" s="491"/>
      <c r="S9" s="492"/>
      <c r="T9" s="492"/>
      <c r="U9" s="543"/>
      <c r="V9" s="544"/>
      <c r="W9" s="491"/>
      <c r="X9" s="492"/>
      <c r="Y9" s="492"/>
      <c r="Z9" s="543"/>
      <c r="AA9" s="544"/>
      <c r="AB9" s="162"/>
      <c r="AC9" s="499"/>
      <c r="AD9" s="500" t="str">
        <f>C8</f>
        <v>Electricity 2017</v>
      </c>
      <c r="AE9" s="501" t="str">
        <f>H8</f>
        <v>Electricity 2017</v>
      </c>
      <c r="AF9" s="501">
        <f>M8</f>
        <v>0</v>
      </c>
      <c r="AG9" s="501">
        <f>R8</f>
        <v>0</v>
      </c>
      <c r="AH9" s="502">
        <f>W8</f>
        <v>0</v>
      </c>
      <c r="AI9" s="499" t="s">
        <v>167</v>
      </c>
      <c r="AJ9" s="500" t="str">
        <f>D8</f>
        <v>Total Fuel 2017</v>
      </c>
      <c r="AK9" s="501" t="str">
        <f>I8</f>
        <v>Total Fuel 2017</v>
      </c>
      <c r="AL9" s="501">
        <f>N8</f>
        <v>0</v>
      </c>
      <c r="AM9" s="501">
        <f>S8</f>
        <v>0</v>
      </c>
      <c r="AN9" s="502">
        <f>X8</f>
        <v>0</v>
      </c>
      <c r="AO9" s="499" t="s">
        <v>167</v>
      </c>
      <c r="AP9" s="500" t="str">
        <f>E8</f>
        <v>Total Energy Cost 2017</v>
      </c>
      <c r="AQ9" s="501" t="str">
        <f>J8</f>
        <v>Total Energy Cost 2017</v>
      </c>
      <c r="AR9" s="501">
        <f>O8</f>
        <v>0</v>
      </c>
      <c r="AS9" s="501">
        <f>T8</f>
        <v>0</v>
      </c>
      <c r="AT9" s="502">
        <f>Y8</f>
        <v>0</v>
      </c>
      <c r="AU9" s="499" t="s">
        <v>167</v>
      </c>
      <c r="AV9" s="500" t="str">
        <f>F8</f>
        <v>Total CO2 2017</v>
      </c>
      <c r="AW9" s="501" t="str">
        <f>K8</f>
        <v>Total CO2 2017</v>
      </c>
      <c r="AX9" s="501">
        <f>P8</f>
        <v>0</v>
      </c>
      <c r="AY9" s="501">
        <f>U8</f>
        <v>0</v>
      </c>
      <c r="AZ9" s="502">
        <f>Z8</f>
        <v>0</v>
      </c>
      <c r="BA9" s="499" t="s">
        <v>167</v>
      </c>
      <c r="BB9" s="500" t="str">
        <f>G8</f>
        <v>KPI Combined 2017</v>
      </c>
      <c r="BC9" s="501" t="str">
        <f>L8</f>
        <v>KPI Combined 2017</v>
      </c>
      <c r="BD9" s="501">
        <f>Q8</f>
        <v>0</v>
      </c>
      <c r="BE9" s="501">
        <f>V8</f>
        <v>0</v>
      </c>
      <c r="BF9" s="502">
        <f>AA8</f>
        <v>0</v>
      </c>
    </row>
    <row r="10" spans="1:58" ht="14.25" customHeight="1" x14ac:dyDescent="0.2">
      <c r="A10" s="132" t="str">
        <f t="shared" ref="A10:A21" si="0">B10&amp;$D$4</f>
        <v>Jan2017</v>
      </c>
      <c r="B10" s="199" t="s">
        <v>0</v>
      </c>
      <c r="C10" s="693">
        <f>Sum!C10</f>
        <v>921954.00000000023</v>
      </c>
      <c r="D10" s="694">
        <f>Sum!G10</f>
        <v>624712.5</v>
      </c>
      <c r="E10" s="694">
        <f>Sum!M10</f>
        <v>43811.411502481795</v>
      </c>
      <c r="F10" s="695">
        <f>Sum!S10</f>
        <v>568.69476395248387</v>
      </c>
      <c r="G10" s="696">
        <f>KPI!U22</f>
        <v>294.95139899659051</v>
      </c>
      <c r="H10" s="494">
        <v>921954.00000000023</v>
      </c>
      <c r="I10" s="495">
        <v>624712.5</v>
      </c>
      <c r="J10" s="495">
        <v>44811.411502481795</v>
      </c>
      <c r="K10" s="535">
        <v>568.69476395248387</v>
      </c>
      <c r="L10" s="536">
        <v>294.95139899659051</v>
      </c>
      <c r="M10" s="494"/>
      <c r="N10" s="495"/>
      <c r="O10" s="495"/>
      <c r="P10" s="535"/>
      <c r="Q10" s="536"/>
      <c r="R10" s="494"/>
      <c r="S10" s="495"/>
      <c r="T10" s="495"/>
      <c r="U10" s="535"/>
      <c r="V10" s="536"/>
      <c r="W10" s="494"/>
      <c r="X10" s="495"/>
      <c r="Y10" s="495"/>
      <c r="Z10" s="535"/>
      <c r="AA10" s="536"/>
      <c r="AC10" s="503" t="str">
        <f>B10</f>
        <v>Jan</v>
      </c>
      <c r="AD10" s="504">
        <f>C10</f>
        <v>921954.00000000023</v>
      </c>
      <c r="AE10" s="505">
        <f t="shared" ref="AE10:AE21" si="1">H10</f>
        <v>921954.00000000023</v>
      </c>
      <c r="AF10" s="505">
        <f t="shared" ref="AF10:AF21" si="2">M10</f>
        <v>0</v>
      </c>
      <c r="AG10" s="505">
        <f t="shared" ref="AG10:AG21" si="3">R10</f>
        <v>0</v>
      </c>
      <c r="AH10" s="506">
        <f t="shared" ref="AH10:AH21" si="4">W10</f>
        <v>0</v>
      </c>
      <c r="AI10" s="503" t="str">
        <f>B10</f>
        <v>Jan</v>
      </c>
      <c r="AJ10" s="504">
        <f>D10</f>
        <v>624712.5</v>
      </c>
      <c r="AK10" s="505">
        <f>I10</f>
        <v>624712.5</v>
      </c>
      <c r="AL10" s="505">
        <f>N10</f>
        <v>0</v>
      </c>
      <c r="AM10" s="505">
        <f>S10</f>
        <v>0</v>
      </c>
      <c r="AN10" s="506">
        <f>X10</f>
        <v>0</v>
      </c>
      <c r="AO10" s="503" t="str">
        <f>B10</f>
        <v>Jan</v>
      </c>
      <c r="AP10" s="504">
        <f>E10</f>
        <v>43811.411502481795</v>
      </c>
      <c r="AQ10" s="505">
        <f>J10</f>
        <v>44811.411502481795</v>
      </c>
      <c r="AR10" s="505">
        <f>O10</f>
        <v>0</v>
      </c>
      <c r="AS10" s="505">
        <f>T10</f>
        <v>0</v>
      </c>
      <c r="AT10" s="506">
        <f>Y10</f>
        <v>0</v>
      </c>
      <c r="AU10" s="507" t="str">
        <f>B10</f>
        <v>Jan</v>
      </c>
      <c r="AV10" s="508">
        <f>F10</f>
        <v>568.69476395248387</v>
      </c>
      <c r="AW10" s="509">
        <f>K10</f>
        <v>568.69476395248387</v>
      </c>
      <c r="AX10" s="509">
        <f>P10</f>
        <v>0</v>
      </c>
      <c r="AY10" s="509">
        <f>U10</f>
        <v>0</v>
      </c>
      <c r="AZ10" s="510">
        <f>Z10</f>
        <v>0</v>
      </c>
      <c r="BA10" s="503" t="str">
        <f>B10</f>
        <v>Jan</v>
      </c>
      <c r="BB10" s="504">
        <f>G10</f>
        <v>294.95139899659051</v>
      </c>
      <c r="BC10" s="505">
        <f>L10</f>
        <v>294.95139899659051</v>
      </c>
      <c r="BD10" s="505">
        <f>Q10</f>
        <v>0</v>
      </c>
      <c r="BE10" s="505">
        <f>V10</f>
        <v>0</v>
      </c>
      <c r="BF10" s="506">
        <f>AA10</f>
        <v>0</v>
      </c>
    </row>
    <row r="11" spans="1:58" ht="14.25" customHeight="1" x14ac:dyDescent="0.2">
      <c r="A11" s="132" t="str">
        <f t="shared" si="0"/>
        <v>Feb2017</v>
      </c>
      <c r="B11" s="199" t="s">
        <v>1</v>
      </c>
      <c r="C11" s="693">
        <f>Sum!C11</f>
        <v>926046.00000000012</v>
      </c>
      <c r="D11" s="694">
        <f>Sum!G11</f>
        <v>791088.75</v>
      </c>
      <c r="E11" s="694">
        <f>Sum!M11</f>
        <v>44676.263026388122</v>
      </c>
      <c r="F11" s="695">
        <f>Sum!S11</f>
        <v>604.25758350971932</v>
      </c>
      <c r="G11" s="696">
        <f>KPI!U23</f>
        <v>440.78819322494201</v>
      </c>
      <c r="H11" s="494">
        <v>926046.00000000012</v>
      </c>
      <c r="I11" s="495">
        <v>791088.75</v>
      </c>
      <c r="J11" s="495">
        <v>45676.263026388122</v>
      </c>
      <c r="K11" s="535">
        <v>604.25758350971932</v>
      </c>
      <c r="L11" s="536">
        <v>440.78819322494201</v>
      </c>
      <c r="M11" s="494"/>
      <c r="N11" s="495"/>
      <c r="O11" s="495"/>
      <c r="P11" s="535"/>
      <c r="Q11" s="536"/>
      <c r="R11" s="494"/>
      <c r="S11" s="495"/>
      <c r="T11" s="495"/>
      <c r="U11" s="535"/>
      <c r="V11" s="536"/>
      <c r="W11" s="494"/>
      <c r="X11" s="495"/>
      <c r="Y11" s="495"/>
      <c r="Z11" s="535"/>
      <c r="AA11" s="536"/>
      <c r="AC11" s="511" t="str">
        <f t="shared" ref="AC11:AC21" si="5">B11</f>
        <v>Feb</v>
      </c>
      <c r="AD11" s="512">
        <f t="shared" ref="AD11:AD21" si="6">C11</f>
        <v>926046.00000000012</v>
      </c>
      <c r="AE11" s="369">
        <f t="shared" si="1"/>
        <v>926046.00000000012</v>
      </c>
      <c r="AF11" s="369">
        <f t="shared" si="2"/>
        <v>0</v>
      </c>
      <c r="AG11" s="369">
        <f t="shared" si="3"/>
        <v>0</v>
      </c>
      <c r="AH11" s="513">
        <f t="shared" si="4"/>
        <v>0</v>
      </c>
      <c r="AI11" s="511" t="str">
        <f t="shared" ref="AI11:AI21" si="7">B11</f>
        <v>Feb</v>
      </c>
      <c r="AJ11" s="512">
        <f t="shared" ref="AJ11:AJ21" si="8">D11</f>
        <v>791088.75</v>
      </c>
      <c r="AK11" s="369">
        <f t="shared" ref="AK11:AK21" si="9">I11</f>
        <v>791088.75</v>
      </c>
      <c r="AL11" s="369">
        <f t="shared" ref="AL11:AL21" si="10">N11</f>
        <v>0</v>
      </c>
      <c r="AM11" s="369">
        <f t="shared" ref="AM11:AM21" si="11">S11</f>
        <v>0</v>
      </c>
      <c r="AN11" s="513">
        <f t="shared" ref="AN11:AN21" si="12">X11</f>
        <v>0</v>
      </c>
      <c r="AO11" s="511" t="str">
        <f t="shared" ref="AO11:AO21" si="13">B11</f>
        <v>Feb</v>
      </c>
      <c r="AP11" s="512">
        <f t="shared" ref="AP11:AP21" si="14">E11</f>
        <v>44676.263026388122</v>
      </c>
      <c r="AQ11" s="369">
        <f t="shared" ref="AQ11:AQ21" si="15">J11</f>
        <v>45676.263026388122</v>
      </c>
      <c r="AR11" s="369">
        <f t="shared" ref="AR11:AR21" si="16">O11</f>
        <v>0</v>
      </c>
      <c r="AS11" s="369">
        <f t="shared" ref="AS11:AS21" si="17">T11</f>
        <v>0</v>
      </c>
      <c r="AT11" s="513">
        <f t="shared" ref="AT11:AT21" si="18">Y11</f>
        <v>0</v>
      </c>
      <c r="AU11" s="503" t="str">
        <f t="shared" ref="AU11:AU21" si="19">B11</f>
        <v>Feb</v>
      </c>
      <c r="AV11" s="504">
        <f t="shared" ref="AV11:AV21" si="20">F11</f>
        <v>604.25758350971932</v>
      </c>
      <c r="AW11" s="505">
        <f t="shared" ref="AW11:AW21" si="21">K11</f>
        <v>604.25758350971932</v>
      </c>
      <c r="AX11" s="505">
        <f t="shared" ref="AX11:AX21" si="22">P11</f>
        <v>0</v>
      </c>
      <c r="AY11" s="505">
        <f t="shared" ref="AY11:AY21" si="23">U11</f>
        <v>0</v>
      </c>
      <c r="AZ11" s="506">
        <f t="shared" ref="AZ11:AZ21" si="24">Z11</f>
        <v>0</v>
      </c>
      <c r="BA11" s="511" t="str">
        <f t="shared" ref="BA11:BA21" si="25">B11</f>
        <v>Feb</v>
      </c>
      <c r="BB11" s="512">
        <f t="shared" ref="BB11:BB21" si="26">G11</f>
        <v>440.78819322494201</v>
      </c>
      <c r="BC11" s="369">
        <f t="shared" ref="BC11:BC21" si="27">L11</f>
        <v>440.78819322494201</v>
      </c>
      <c r="BD11" s="369">
        <f t="shared" ref="BD11:BD21" si="28">Q11</f>
        <v>0</v>
      </c>
      <c r="BE11" s="369">
        <f t="shared" ref="BE11:BE21" si="29">V11</f>
        <v>0</v>
      </c>
      <c r="BF11" s="513">
        <f t="shared" ref="BF11:BF21" si="30">AA11</f>
        <v>0</v>
      </c>
    </row>
    <row r="12" spans="1:58" ht="14.25" customHeight="1" x14ac:dyDescent="0.2">
      <c r="A12" s="132" t="str">
        <f t="shared" si="0"/>
        <v>Mar2017</v>
      </c>
      <c r="B12" s="199" t="s">
        <v>2</v>
      </c>
      <c r="C12" s="693">
        <f>Sum!C12</f>
        <v>934136</v>
      </c>
      <c r="D12" s="694">
        <f>Sum!G12</f>
        <v>905433.75</v>
      </c>
      <c r="E12" s="694">
        <f>Sum!M12</f>
        <v>44623.623131756831</v>
      </c>
      <c r="F12" s="695">
        <f>Sum!S12</f>
        <v>631.23205240820744</v>
      </c>
      <c r="G12" s="696">
        <f>KPI!U24</f>
        <v>231.58893114612894</v>
      </c>
      <c r="H12" s="494">
        <v>934136</v>
      </c>
      <c r="I12" s="495">
        <v>905433.75</v>
      </c>
      <c r="J12" s="495">
        <v>45623.623131756831</v>
      </c>
      <c r="K12" s="535">
        <v>631.23205240820744</v>
      </c>
      <c r="L12" s="536">
        <v>231.58893114612894</v>
      </c>
      <c r="M12" s="494"/>
      <c r="N12" s="495"/>
      <c r="O12" s="495"/>
      <c r="P12" s="535"/>
      <c r="Q12" s="536"/>
      <c r="R12" s="494"/>
      <c r="S12" s="495"/>
      <c r="T12" s="495"/>
      <c r="U12" s="535"/>
      <c r="V12" s="536"/>
      <c r="W12" s="494"/>
      <c r="X12" s="495"/>
      <c r="Y12" s="495"/>
      <c r="Z12" s="535"/>
      <c r="AA12" s="536"/>
      <c r="AC12" s="511" t="str">
        <f t="shared" si="5"/>
        <v>Mar</v>
      </c>
      <c r="AD12" s="512">
        <f t="shared" si="6"/>
        <v>934136</v>
      </c>
      <c r="AE12" s="369">
        <f t="shared" si="1"/>
        <v>934136</v>
      </c>
      <c r="AF12" s="369">
        <f t="shared" si="2"/>
        <v>0</v>
      </c>
      <c r="AG12" s="369">
        <f t="shared" si="3"/>
        <v>0</v>
      </c>
      <c r="AH12" s="513">
        <f t="shared" si="4"/>
        <v>0</v>
      </c>
      <c r="AI12" s="511" t="str">
        <f t="shared" si="7"/>
        <v>Mar</v>
      </c>
      <c r="AJ12" s="512">
        <f t="shared" si="8"/>
        <v>905433.75</v>
      </c>
      <c r="AK12" s="369">
        <f t="shared" si="9"/>
        <v>905433.75</v>
      </c>
      <c r="AL12" s="369">
        <f t="shared" si="10"/>
        <v>0</v>
      </c>
      <c r="AM12" s="369">
        <f t="shared" si="11"/>
        <v>0</v>
      </c>
      <c r="AN12" s="513">
        <f t="shared" si="12"/>
        <v>0</v>
      </c>
      <c r="AO12" s="511" t="str">
        <f t="shared" si="13"/>
        <v>Mar</v>
      </c>
      <c r="AP12" s="512">
        <f t="shared" si="14"/>
        <v>44623.623131756831</v>
      </c>
      <c r="AQ12" s="369">
        <f t="shared" si="15"/>
        <v>45623.623131756831</v>
      </c>
      <c r="AR12" s="369">
        <f t="shared" si="16"/>
        <v>0</v>
      </c>
      <c r="AS12" s="369">
        <f t="shared" si="17"/>
        <v>0</v>
      </c>
      <c r="AT12" s="513">
        <f t="shared" si="18"/>
        <v>0</v>
      </c>
      <c r="AU12" s="503" t="str">
        <f t="shared" si="19"/>
        <v>Mar</v>
      </c>
      <c r="AV12" s="504">
        <f t="shared" si="20"/>
        <v>631.23205240820744</v>
      </c>
      <c r="AW12" s="505">
        <f t="shared" si="21"/>
        <v>631.23205240820744</v>
      </c>
      <c r="AX12" s="505">
        <f t="shared" si="22"/>
        <v>0</v>
      </c>
      <c r="AY12" s="505">
        <f t="shared" si="23"/>
        <v>0</v>
      </c>
      <c r="AZ12" s="506">
        <f t="shared" si="24"/>
        <v>0</v>
      </c>
      <c r="BA12" s="511" t="str">
        <f t="shared" si="25"/>
        <v>Mar</v>
      </c>
      <c r="BB12" s="512">
        <f t="shared" si="26"/>
        <v>231.58893114612894</v>
      </c>
      <c r="BC12" s="369">
        <f t="shared" si="27"/>
        <v>231.58893114612894</v>
      </c>
      <c r="BD12" s="369">
        <f t="shared" si="28"/>
        <v>0</v>
      </c>
      <c r="BE12" s="369">
        <f t="shared" si="29"/>
        <v>0</v>
      </c>
      <c r="BF12" s="513">
        <f t="shared" si="30"/>
        <v>0</v>
      </c>
    </row>
    <row r="13" spans="1:58" ht="14.25" customHeight="1" x14ac:dyDescent="0.2">
      <c r="A13" s="132" t="str">
        <f t="shared" si="0"/>
        <v>Apr2017</v>
      </c>
      <c r="B13" s="199" t="s">
        <v>3</v>
      </c>
      <c r="C13" s="693">
        <f>Sum!C13</f>
        <v>1154254</v>
      </c>
      <c r="D13" s="694">
        <f>Sum!G13</f>
        <v>918855</v>
      </c>
      <c r="E13" s="694">
        <f>Sum!M13</f>
        <v>53047.895891726635</v>
      </c>
      <c r="F13" s="695">
        <f>Sum!S13</f>
        <v>739.59903123110155</v>
      </c>
      <c r="G13" s="696">
        <f>KPI!U25</f>
        <v>236.60142158090324</v>
      </c>
      <c r="H13" s="494">
        <v>1154254</v>
      </c>
      <c r="I13" s="495">
        <v>918855</v>
      </c>
      <c r="J13" s="495">
        <v>54047.895891726635</v>
      </c>
      <c r="K13" s="535">
        <v>739.59903123110155</v>
      </c>
      <c r="L13" s="536">
        <v>236.60142158090324</v>
      </c>
      <c r="M13" s="494"/>
      <c r="N13" s="495"/>
      <c r="O13" s="495"/>
      <c r="P13" s="535"/>
      <c r="Q13" s="536"/>
      <c r="R13" s="494"/>
      <c r="S13" s="495"/>
      <c r="T13" s="495"/>
      <c r="U13" s="535"/>
      <c r="V13" s="536"/>
      <c r="W13" s="494"/>
      <c r="X13" s="495"/>
      <c r="Y13" s="495"/>
      <c r="Z13" s="535"/>
      <c r="AA13" s="536"/>
      <c r="AC13" s="511" t="str">
        <f t="shared" si="5"/>
        <v>Apr</v>
      </c>
      <c r="AD13" s="512">
        <f t="shared" si="6"/>
        <v>1154254</v>
      </c>
      <c r="AE13" s="369">
        <f t="shared" si="1"/>
        <v>1154254</v>
      </c>
      <c r="AF13" s="369">
        <f t="shared" si="2"/>
        <v>0</v>
      </c>
      <c r="AG13" s="369">
        <f t="shared" si="3"/>
        <v>0</v>
      </c>
      <c r="AH13" s="513">
        <f t="shared" si="4"/>
        <v>0</v>
      </c>
      <c r="AI13" s="511" t="str">
        <f t="shared" si="7"/>
        <v>Apr</v>
      </c>
      <c r="AJ13" s="512">
        <f t="shared" si="8"/>
        <v>918855</v>
      </c>
      <c r="AK13" s="369">
        <f t="shared" si="9"/>
        <v>918855</v>
      </c>
      <c r="AL13" s="369">
        <f t="shared" si="10"/>
        <v>0</v>
      </c>
      <c r="AM13" s="369">
        <f t="shared" si="11"/>
        <v>0</v>
      </c>
      <c r="AN13" s="513">
        <f t="shared" si="12"/>
        <v>0</v>
      </c>
      <c r="AO13" s="511" t="str">
        <f t="shared" si="13"/>
        <v>Apr</v>
      </c>
      <c r="AP13" s="512">
        <f t="shared" si="14"/>
        <v>53047.895891726635</v>
      </c>
      <c r="AQ13" s="369">
        <f t="shared" si="15"/>
        <v>54047.895891726635</v>
      </c>
      <c r="AR13" s="369">
        <f t="shared" si="16"/>
        <v>0</v>
      </c>
      <c r="AS13" s="369">
        <f t="shared" si="17"/>
        <v>0</v>
      </c>
      <c r="AT13" s="513">
        <f t="shared" si="18"/>
        <v>0</v>
      </c>
      <c r="AU13" s="503" t="str">
        <f t="shared" si="19"/>
        <v>Apr</v>
      </c>
      <c r="AV13" s="504">
        <f t="shared" si="20"/>
        <v>739.59903123110155</v>
      </c>
      <c r="AW13" s="505">
        <f t="shared" si="21"/>
        <v>739.59903123110155</v>
      </c>
      <c r="AX13" s="505">
        <f t="shared" si="22"/>
        <v>0</v>
      </c>
      <c r="AY13" s="505">
        <f t="shared" si="23"/>
        <v>0</v>
      </c>
      <c r="AZ13" s="506">
        <f t="shared" si="24"/>
        <v>0</v>
      </c>
      <c r="BA13" s="511" t="str">
        <f t="shared" si="25"/>
        <v>Apr</v>
      </c>
      <c r="BB13" s="512">
        <f t="shared" si="26"/>
        <v>236.60142158090324</v>
      </c>
      <c r="BC13" s="369">
        <f t="shared" si="27"/>
        <v>236.60142158090324</v>
      </c>
      <c r="BD13" s="369">
        <f t="shared" si="28"/>
        <v>0</v>
      </c>
      <c r="BE13" s="369">
        <f t="shared" si="29"/>
        <v>0</v>
      </c>
      <c r="BF13" s="513">
        <f t="shared" si="30"/>
        <v>0</v>
      </c>
    </row>
    <row r="14" spans="1:58" ht="14.25" customHeight="1" x14ac:dyDescent="0.2">
      <c r="A14" s="132" t="str">
        <f t="shared" si="0"/>
        <v>May2017</v>
      </c>
      <c r="B14" s="199" t="s">
        <v>4</v>
      </c>
      <c r="C14" s="693">
        <f>Sum!C14</f>
        <v>1339322.0000000002</v>
      </c>
      <c r="D14" s="694">
        <f>Sum!G14</f>
        <v>1447920</v>
      </c>
      <c r="E14" s="694">
        <f>Sum!M14</f>
        <v>67116.681745508948</v>
      </c>
      <c r="F14" s="695">
        <f>Sum!S14</f>
        <v>935.27309131749462</v>
      </c>
      <c r="G14" s="696">
        <f>KPI!U26</f>
        <v>272.84583030854509</v>
      </c>
      <c r="H14" s="494">
        <v>1339322.0000000002</v>
      </c>
      <c r="I14" s="495">
        <v>1447920</v>
      </c>
      <c r="J14" s="495">
        <v>68116.681745508948</v>
      </c>
      <c r="K14" s="535">
        <v>935.27309131749462</v>
      </c>
      <c r="L14" s="536">
        <v>272.84583030854509</v>
      </c>
      <c r="M14" s="494"/>
      <c r="N14" s="495"/>
      <c r="O14" s="495"/>
      <c r="P14" s="535"/>
      <c r="Q14" s="536"/>
      <c r="R14" s="494"/>
      <c r="S14" s="495"/>
      <c r="T14" s="495"/>
      <c r="U14" s="535"/>
      <c r="V14" s="536"/>
      <c r="W14" s="494"/>
      <c r="X14" s="495"/>
      <c r="Y14" s="495"/>
      <c r="Z14" s="535"/>
      <c r="AA14" s="536"/>
      <c r="AC14" s="511" t="str">
        <f t="shared" si="5"/>
        <v>May</v>
      </c>
      <c r="AD14" s="512">
        <f t="shared" si="6"/>
        <v>1339322.0000000002</v>
      </c>
      <c r="AE14" s="369">
        <f t="shared" si="1"/>
        <v>1339322.0000000002</v>
      </c>
      <c r="AF14" s="369">
        <f t="shared" si="2"/>
        <v>0</v>
      </c>
      <c r="AG14" s="369">
        <f t="shared" si="3"/>
        <v>0</v>
      </c>
      <c r="AH14" s="513">
        <f t="shared" si="4"/>
        <v>0</v>
      </c>
      <c r="AI14" s="511" t="str">
        <f t="shared" si="7"/>
        <v>May</v>
      </c>
      <c r="AJ14" s="512">
        <f t="shared" si="8"/>
        <v>1447920</v>
      </c>
      <c r="AK14" s="369">
        <f t="shared" si="9"/>
        <v>1447920</v>
      </c>
      <c r="AL14" s="369">
        <f t="shared" si="10"/>
        <v>0</v>
      </c>
      <c r="AM14" s="369">
        <f t="shared" si="11"/>
        <v>0</v>
      </c>
      <c r="AN14" s="513">
        <f t="shared" si="12"/>
        <v>0</v>
      </c>
      <c r="AO14" s="511" t="str">
        <f t="shared" si="13"/>
        <v>May</v>
      </c>
      <c r="AP14" s="512">
        <f t="shared" si="14"/>
        <v>67116.681745508948</v>
      </c>
      <c r="AQ14" s="369">
        <f t="shared" si="15"/>
        <v>68116.681745508948</v>
      </c>
      <c r="AR14" s="369">
        <f t="shared" si="16"/>
        <v>0</v>
      </c>
      <c r="AS14" s="369">
        <f t="shared" si="17"/>
        <v>0</v>
      </c>
      <c r="AT14" s="513">
        <f t="shared" si="18"/>
        <v>0</v>
      </c>
      <c r="AU14" s="503" t="str">
        <f t="shared" si="19"/>
        <v>May</v>
      </c>
      <c r="AV14" s="504">
        <f t="shared" si="20"/>
        <v>935.27309131749462</v>
      </c>
      <c r="AW14" s="505">
        <f t="shared" si="21"/>
        <v>935.27309131749462</v>
      </c>
      <c r="AX14" s="505">
        <f t="shared" si="22"/>
        <v>0</v>
      </c>
      <c r="AY14" s="505">
        <f t="shared" si="23"/>
        <v>0</v>
      </c>
      <c r="AZ14" s="506">
        <f t="shared" si="24"/>
        <v>0</v>
      </c>
      <c r="BA14" s="511" t="str">
        <f t="shared" si="25"/>
        <v>May</v>
      </c>
      <c r="BB14" s="512">
        <f t="shared" si="26"/>
        <v>272.84583030854509</v>
      </c>
      <c r="BC14" s="369">
        <f t="shared" si="27"/>
        <v>272.84583030854509</v>
      </c>
      <c r="BD14" s="369">
        <f t="shared" si="28"/>
        <v>0</v>
      </c>
      <c r="BE14" s="369">
        <f t="shared" si="29"/>
        <v>0</v>
      </c>
      <c r="BF14" s="513">
        <f t="shared" si="30"/>
        <v>0</v>
      </c>
    </row>
    <row r="15" spans="1:58" ht="14.25" customHeight="1" x14ac:dyDescent="0.2">
      <c r="A15" s="132" t="str">
        <f t="shared" si="0"/>
        <v>Jun2017</v>
      </c>
      <c r="B15" s="199" t="s">
        <v>5</v>
      </c>
      <c r="C15" s="693">
        <f>Sum!C15</f>
        <v>1579478.9999999998</v>
      </c>
      <c r="D15" s="694">
        <f>Sum!G15</f>
        <v>1440956.25</v>
      </c>
      <c r="E15" s="694">
        <f>Sum!M15</f>
        <v>78356.586160690596</v>
      </c>
      <c r="F15" s="695">
        <f>Sum!S15</f>
        <v>1049.1421648704104</v>
      </c>
      <c r="G15" s="696">
        <f>KPI!U27</f>
        <v>222.32517837819245</v>
      </c>
      <c r="H15" s="494">
        <v>1579478.9999999998</v>
      </c>
      <c r="I15" s="495">
        <v>1440956.25</v>
      </c>
      <c r="J15" s="495">
        <v>79356.586160690596</v>
      </c>
      <c r="K15" s="535">
        <v>1049.1421648704104</v>
      </c>
      <c r="L15" s="536">
        <v>222.32517837819245</v>
      </c>
      <c r="M15" s="494"/>
      <c r="N15" s="495"/>
      <c r="O15" s="495"/>
      <c r="P15" s="535"/>
      <c r="Q15" s="536"/>
      <c r="R15" s="494"/>
      <c r="S15" s="495"/>
      <c r="T15" s="495"/>
      <c r="U15" s="535"/>
      <c r="V15" s="536"/>
      <c r="W15" s="494"/>
      <c r="X15" s="495"/>
      <c r="Y15" s="495"/>
      <c r="Z15" s="535"/>
      <c r="AA15" s="536"/>
      <c r="AC15" s="511" t="str">
        <f t="shared" si="5"/>
        <v>Jun</v>
      </c>
      <c r="AD15" s="512">
        <f t="shared" si="6"/>
        <v>1579478.9999999998</v>
      </c>
      <c r="AE15" s="369">
        <f t="shared" si="1"/>
        <v>1579478.9999999998</v>
      </c>
      <c r="AF15" s="369">
        <f t="shared" si="2"/>
        <v>0</v>
      </c>
      <c r="AG15" s="369">
        <f t="shared" si="3"/>
        <v>0</v>
      </c>
      <c r="AH15" s="513">
        <f t="shared" si="4"/>
        <v>0</v>
      </c>
      <c r="AI15" s="511" t="str">
        <f t="shared" si="7"/>
        <v>Jun</v>
      </c>
      <c r="AJ15" s="512">
        <f t="shared" si="8"/>
        <v>1440956.25</v>
      </c>
      <c r="AK15" s="369">
        <f t="shared" si="9"/>
        <v>1440956.25</v>
      </c>
      <c r="AL15" s="369">
        <f t="shared" si="10"/>
        <v>0</v>
      </c>
      <c r="AM15" s="369">
        <f t="shared" si="11"/>
        <v>0</v>
      </c>
      <c r="AN15" s="513">
        <f t="shared" si="12"/>
        <v>0</v>
      </c>
      <c r="AO15" s="511" t="str">
        <f t="shared" si="13"/>
        <v>Jun</v>
      </c>
      <c r="AP15" s="512">
        <f t="shared" si="14"/>
        <v>78356.586160690596</v>
      </c>
      <c r="AQ15" s="369">
        <f t="shared" si="15"/>
        <v>79356.586160690596</v>
      </c>
      <c r="AR15" s="369">
        <f t="shared" si="16"/>
        <v>0</v>
      </c>
      <c r="AS15" s="369">
        <f t="shared" si="17"/>
        <v>0</v>
      </c>
      <c r="AT15" s="513">
        <f t="shared" si="18"/>
        <v>0</v>
      </c>
      <c r="AU15" s="503" t="str">
        <f t="shared" si="19"/>
        <v>Jun</v>
      </c>
      <c r="AV15" s="504">
        <f t="shared" si="20"/>
        <v>1049.1421648704104</v>
      </c>
      <c r="AW15" s="505">
        <f t="shared" si="21"/>
        <v>1049.1421648704104</v>
      </c>
      <c r="AX15" s="505">
        <f t="shared" si="22"/>
        <v>0</v>
      </c>
      <c r="AY15" s="505">
        <f t="shared" si="23"/>
        <v>0</v>
      </c>
      <c r="AZ15" s="506">
        <f t="shared" si="24"/>
        <v>0</v>
      </c>
      <c r="BA15" s="511" t="str">
        <f t="shared" si="25"/>
        <v>Jun</v>
      </c>
      <c r="BB15" s="512">
        <f t="shared" si="26"/>
        <v>222.32517837819245</v>
      </c>
      <c r="BC15" s="369">
        <f t="shared" si="27"/>
        <v>222.32517837819245</v>
      </c>
      <c r="BD15" s="369">
        <f t="shared" si="28"/>
        <v>0</v>
      </c>
      <c r="BE15" s="369">
        <f t="shared" si="29"/>
        <v>0</v>
      </c>
      <c r="BF15" s="513">
        <f t="shared" si="30"/>
        <v>0</v>
      </c>
    </row>
    <row r="16" spans="1:58" ht="14.25" customHeight="1" x14ac:dyDescent="0.2">
      <c r="A16" s="132" t="str">
        <f t="shared" si="0"/>
        <v>Jul2017</v>
      </c>
      <c r="B16" s="199" t="s">
        <v>6</v>
      </c>
      <c r="C16" s="693">
        <f>Sum!C16</f>
        <v>1173908</v>
      </c>
      <c r="D16" s="694">
        <f>Sum!G16</f>
        <v>845336.25</v>
      </c>
      <c r="E16" s="694">
        <f>Sum!M16</f>
        <v>71934.158440399173</v>
      </c>
      <c r="F16" s="695">
        <f>Sum!S16</f>
        <v>734.18629221382298</v>
      </c>
      <c r="G16" s="696">
        <f>KPI!U28</f>
        <v>191.63388396384531</v>
      </c>
      <c r="H16" s="494">
        <v>1173908</v>
      </c>
      <c r="I16" s="495">
        <v>845336.25</v>
      </c>
      <c r="J16" s="495">
        <v>72934.158440399173</v>
      </c>
      <c r="K16" s="535">
        <v>734.18629221382298</v>
      </c>
      <c r="L16" s="536">
        <v>191.63388396384531</v>
      </c>
      <c r="M16" s="494"/>
      <c r="N16" s="495"/>
      <c r="O16" s="495"/>
      <c r="P16" s="535"/>
      <c r="Q16" s="536"/>
      <c r="R16" s="494"/>
      <c r="S16" s="495"/>
      <c r="T16" s="495"/>
      <c r="U16" s="535"/>
      <c r="V16" s="536"/>
      <c r="W16" s="494"/>
      <c r="X16" s="495"/>
      <c r="Y16" s="495"/>
      <c r="Z16" s="535"/>
      <c r="AA16" s="536"/>
      <c r="AC16" s="511" t="str">
        <f t="shared" si="5"/>
        <v>Jul</v>
      </c>
      <c r="AD16" s="512">
        <f t="shared" si="6"/>
        <v>1173908</v>
      </c>
      <c r="AE16" s="369">
        <f t="shared" si="1"/>
        <v>1173908</v>
      </c>
      <c r="AF16" s="369">
        <f t="shared" si="2"/>
        <v>0</v>
      </c>
      <c r="AG16" s="369">
        <f t="shared" si="3"/>
        <v>0</v>
      </c>
      <c r="AH16" s="513">
        <f t="shared" si="4"/>
        <v>0</v>
      </c>
      <c r="AI16" s="511" t="str">
        <f t="shared" si="7"/>
        <v>Jul</v>
      </c>
      <c r="AJ16" s="512">
        <f t="shared" si="8"/>
        <v>845336.25</v>
      </c>
      <c r="AK16" s="369">
        <f t="shared" si="9"/>
        <v>845336.25</v>
      </c>
      <c r="AL16" s="369">
        <f t="shared" si="10"/>
        <v>0</v>
      </c>
      <c r="AM16" s="369">
        <f t="shared" si="11"/>
        <v>0</v>
      </c>
      <c r="AN16" s="513">
        <f t="shared" si="12"/>
        <v>0</v>
      </c>
      <c r="AO16" s="511" t="str">
        <f t="shared" si="13"/>
        <v>Jul</v>
      </c>
      <c r="AP16" s="512">
        <f t="shared" si="14"/>
        <v>71934.158440399173</v>
      </c>
      <c r="AQ16" s="369">
        <f t="shared" si="15"/>
        <v>72934.158440399173</v>
      </c>
      <c r="AR16" s="369">
        <f t="shared" si="16"/>
        <v>0</v>
      </c>
      <c r="AS16" s="369">
        <f t="shared" si="17"/>
        <v>0</v>
      </c>
      <c r="AT16" s="513">
        <f t="shared" si="18"/>
        <v>0</v>
      </c>
      <c r="AU16" s="503" t="str">
        <f t="shared" si="19"/>
        <v>Jul</v>
      </c>
      <c r="AV16" s="504">
        <f t="shared" si="20"/>
        <v>734.18629221382298</v>
      </c>
      <c r="AW16" s="505">
        <f t="shared" si="21"/>
        <v>734.18629221382298</v>
      </c>
      <c r="AX16" s="505">
        <f t="shared" si="22"/>
        <v>0</v>
      </c>
      <c r="AY16" s="505">
        <f t="shared" si="23"/>
        <v>0</v>
      </c>
      <c r="AZ16" s="506">
        <f t="shared" si="24"/>
        <v>0</v>
      </c>
      <c r="BA16" s="511" t="str">
        <f t="shared" si="25"/>
        <v>Jul</v>
      </c>
      <c r="BB16" s="512">
        <f t="shared" si="26"/>
        <v>191.63388396384531</v>
      </c>
      <c r="BC16" s="369">
        <f t="shared" si="27"/>
        <v>191.63388396384531</v>
      </c>
      <c r="BD16" s="369">
        <f t="shared" si="28"/>
        <v>0</v>
      </c>
      <c r="BE16" s="369">
        <f t="shared" si="29"/>
        <v>0</v>
      </c>
      <c r="BF16" s="513">
        <f t="shared" si="30"/>
        <v>0</v>
      </c>
    </row>
    <row r="17" spans="1:58" ht="14.25" customHeight="1" x14ac:dyDescent="0.2">
      <c r="A17" s="132" t="str">
        <f t="shared" si="0"/>
        <v>Aug2017</v>
      </c>
      <c r="B17" s="199" t="s">
        <v>7</v>
      </c>
      <c r="C17" s="693">
        <f>Sum!C17</f>
        <v>1374111</v>
      </c>
      <c r="D17" s="694">
        <f>Sum!G17</f>
        <v>847586.25</v>
      </c>
      <c r="E17" s="694">
        <f>Sum!M17</f>
        <v>83769.894086790897</v>
      </c>
      <c r="F17" s="695">
        <f>Sum!S17</f>
        <v>830.73810586393097</v>
      </c>
      <c r="G17" s="696">
        <f>KPI!U29</f>
        <v>176.59697764824185</v>
      </c>
      <c r="H17" s="494">
        <v>1374111</v>
      </c>
      <c r="I17" s="495">
        <v>847586.25</v>
      </c>
      <c r="J17" s="495">
        <v>84769.894086790897</v>
      </c>
      <c r="K17" s="535">
        <v>830.73810586393097</v>
      </c>
      <c r="L17" s="536">
        <v>176.59697764824185</v>
      </c>
      <c r="M17" s="494"/>
      <c r="N17" s="495"/>
      <c r="O17" s="495"/>
      <c r="P17" s="535"/>
      <c r="Q17" s="536"/>
      <c r="R17" s="494"/>
      <c r="S17" s="495"/>
      <c r="T17" s="495"/>
      <c r="U17" s="535"/>
      <c r="V17" s="536"/>
      <c r="W17" s="494"/>
      <c r="X17" s="495"/>
      <c r="Y17" s="495"/>
      <c r="Z17" s="535"/>
      <c r="AA17" s="536"/>
      <c r="AC17" s="511" t="str">
        <f t="shared" si="5"/>
        <v>Aug</v>
      </c>
      <c r="AD17" s="512">
        <f t="shared" si="6"/>
        <v>1374111</v>
      </c>
      <c r="AE17" s="369">
        <f t="shared" si="1"/>
        <v>1374111</v>
      </c>
      <c r="AF17" s="369">
        <f t="shared" si="2"/>
        <v>0</v>
      </c>
      <c r="AG17" s="369">
        <f t="shared" si="3"/>
        <v>0</v>
      </c>
      <c r="AH17" s="513">
        <f t="shared" si="4"/>
        <v>0</v>
      </c>
      <c r="AI17" s="511" t="str">
        <f t="shared" si="7"/>
        <v>Aug</v>
      </c>
      <c r="AJ17" s="512">
        <f t="shared" si="8"/>
        <v>847586.25</v>
      </c>
      <c r="AK17" s="369">
        <f t="shared" si="9"/>
        <v>847586.25</v>
      </c>
      <c r="AL17" s="369">
        <f t="shared" si="10"/>
        <v>0</v>
      </c>
      <c r="AM17" s="369">
        <f t="shared" si="11"/>
        <v>0</v>
      </c>
      <c r="AN17" s="513">
        <f t="shared" si="12"/>
        <v>0</v>
      </c>
      <c r="AO17" s="511" t="str">
        <f t="shared" si="13"/>
        <v>Aug</v>
      </c>
      <c r="AP17" s="512">
        <f t="shared" si="14"/>
        <v>83769.894086790897</v>
      </c>
      <c r="AQ17" s="369">
        <f t="shared" si="15"/>
        <v>84769.894086790897</v>
      </c>
      <c r="AR17" s="369">
        <f t="shared" si="16"/>
        <v>0</v>
      </c>
      <c r="AS17" s="369">
        <f t="shared" si="17"/>
        <v>0</v>
      </c>
      <c r="AT17" s="513">
        <f t="shared" si="18"/>
        <v>0</v>
      </c>
      <c r="AU17" s="503" t="str">
        <f t="shared" si="19"/>
        <v>Aug</v>
      </c>
      <c r="AV17" s="504">
        <f t="shared" si="20"/>
        <v>830.73810586393097</v>
      </c>
      <c r="AW17" s="505">
        <f t="shared" si="21"/>
        <v>830.73810586393097</v>
      </c>
      <c r="AX17" s="505">
        <f t="shared" si="22"/>
        <v>0</v>
      </c>
      <c r="AY17" s="505">
        <f t="shared" si="23"/>
        <v>0</v>
      </c>
      <c r="AZ17" s="506">
        <f t="shared" si="24"/>
        <v>0</v>
      </c>
      <c r="BA17" s="511" t="str">
        <f t="shared" si="25"/>
        <v>Aug</v>
      </c>
      <c r="BB17" s="512">
        <f t="shared" si="26"/>
        <v>176.59697764824185</v>
      </c>
      <c r="BC17" s="369">
        <f t="shared" si="27"/>
        <v>176.59697764824185</v>
      </c>
      <c r="BD17" s="369">
        <f t="shared" si="28"/>
        <v>0</v>
      </c>
      <c r="BE17" s="369">
        <f t="shared" si="29"/>
        <v>0</v>
      </c>
      <c r="BF17" s="513">
        <f t="shared" si="30"/>
        <v>0</v>
      </c>
    </row>
    <row r="18" spans="1:58" ht="14.25" customHeight="1" x14ac:dyDescent="0.2">
      <c r="A18" s="132" t="str">
        <f t="shared" si="0"/>
        <v>Sep2017</v>
      </c>
      <c r="B18" s="199" t="s">
        <v>8</v>
      </c>
      <c r="C18" s="693">
        <f>Sum!C18</f>
        <v>1550682.0000000002</v>
      </c>
      <c r="D18" s="694">
        <f>Sum!G18</f>
        <v>832162.5</v>
      </c>
      <c r="E18" s="694">
        <f>Sum!M18</f>
        <v>93288.258728154775</v>
      </c>
      <c r="F18" s="695">
        <f>Sum!S18</f>
        <v>912.37745449244073</v>
      </c>
      <c r="G18" s="696">
        <f>KPI!U30</f>
        <v>202.41038334662213</v>
      </c>
      <c r="H18" s="494">
        <v>1550682.0000000002</v>
      </c>
      <c r="I18" s="495">
        <v>832162.5</v>
      </c>
      <c r="J18" s="495">
        <v>94288.258728154775</v>
      </c>
      <c r="K18" s="535">
        <v>912.37745449244073</v>
      </c>
      <c r="L18" s="536">
        <v>202.41038334662213</v>
      </c>
      <c r="M18" s="494"/>
      <c r="N18" s="495"/>
      <c r="O18" s="495"/>
      <c r="P18" s="535"/>
      <c r="Q18" s="536"/>
      <c r="R18" s="494"/>
      <c r="S18" s="495"/>
      <c r="T18" s="495"/>
      <c r="U18" s="535"/>
      <c r="V18" s="536"/>
      <c r="W18" s="494"/>
      <c r="X18" s="495"/>
      <c r="Y18" s="495"/>
      <c r="Z18" s="535"/>
      <c r="AA18" s="536"/>
      <c r="AC18" s="511" t="str">
        <f t="shared" si="5"/>
        <v>Sep</v>
      </c>
      <c r="AD18" s="512">
        <f t="shared" si="6"/>
        <v>1550682.0000000002</v>
      </c>
      <c r="AE18" s="369">
        <f t="shared" si="1"/>
        <v>1550682.0000000002</v>
      </c>
      <c r="AF18" s="369">
        <f t="shared" si="2"/>
        <v>0</v>
      </c>
      <c r="AG18" s="369">
        <f t="shared" si="3"/>
        <v>0</v>
      </c>
      <c r="AH18" s="513">
        <f t="shared" si="4"/>
        <v>0</v>
      </c>
      <c r="AI18" s="511" t="str">
        <f t="shared" si="7"/>
        <v>Sep</v>
      </c>
      <c r="AJ18" s="512">
        <f t="shared" si="8"/>
        <v>832162.5</v>
      </c>
      <c r="AK18" s="369">
        <f t="shared" si="9"/>
        <v>832162.5</v>
      </c>
      <c r="AL18" s="369">
        <f t="shared" si="10"/>
        <v>0</v>
      </c>
      <c r="AM18" s="369">
        <f t="shared" si="11"/>
        <v>0</v>
      </c>
      <c r="AN18" s="513">
        <f t="shared" si="12"/>
        <v>0</v>
      </c>
      <c r="AO18" s="511" t="str">
        <f t="shared" si="13"/>
        <v>Sep</v>
      </c>
      <c r="AP18" s="512">
        <f t="shared" si="14"/>
        <v>93288.258728154775</v>
      </c>
      <c r="AQ18" s="369">
        <f t="shared" si="15"/>
        <v>94288.258728154775</v>
      </c>
      <c r="AR18" s="369">
        <f t="shared" si="16"/>
        <v>0</v>
      </c>
      <c r="AS18" s="369">
        <f t="shared" si="17"/>
        <v>0</v>
      </c>
      <c r="AT18" s="513">
        <f t="shared" si="18"/>
        <v>0</v>
      </c>
      <c r="AU18" s="503" t="str">
        <f t="shared" si="19"/>
        <v>Sep</v>
      </c>
      <c r="AV18" s="504">
        <f t="shared" si="20"/>
        <v>912.37745449244073</v>
      </c>
      <c r="AW18" s="505">
        <f t="shared" si="21"/>
        <v>912.37745449244073</v>
      </c>
      <c r="AX18" s="505">
        <f t="shared" si="22"/>
        <v>0</v>
      </c>
      <c r="AY18" s="505">
        <f t="shared" si="23"/>
        <v>0</v>
      </c>
      <c r="AZ18" s="506">
        <f t="shared" si="24"/>
        <v>0</v>
      </c>
      <c r="BA18" s="511" t="str">
        <f t="shared" si="25"/>
        <v>Sep</v>
      </c>
      <c r="BB18" s="512">
        <f t="shared" si="26"/>
        <v>202.41038334662213</v>
      </c>
      <c r="BC18" s="369">
        <f t="shared" si="27"/>
        <v>202.41038334662213</v>
      </c>
      <c r="BD18" s="369">
        <f t="shared" si="28"/>
        <v>0</v>
      </c>
      <c r="BE18" s="369">
        <f t="shared" si="29"/>
        <v>0</v>
      </c>
      <c r="BF18" s="513">
        <f t="shared" si="30"/>
        <v>0</v>
      </c>
    </row>
    <row r="19" spans="1:58" ht="14.25" customHeight="1" x14ac:dyDescent="0.2">
      <c r="A19" s="132" t="str">
        <f t="shared" si="0"/>
        <v>Oct2017</v>
      </c>
      <c r="B19" s="199" t="s">
        <v>9</v>
      </c>
      <c r="C19" s="693">
        <f>Sum!C19</f>
        <v>1376402</v>
      </c>
      <c r="D19" s="694">
        <f>Sum!G19</f>
        <v>942648.75</v>
      </c>
      <c r="E19" s="694">
        <f>Sum!M19</f>
        <v>82958.104135263289</v>
      </c>
      <c r="F19" s="695">
        <f>Sum!S19</f>
        <v>851.03507258099353</v>
      </c>
      <c r="G19" s="696">
        <f>KPI!U31</f>
        <v>171.58617664236434</v>
      </c>
      <c r="H19" s="494">
        <v>1376402</v>
      </c>
      <c r="I19" s="495">
        <v>942648.75</v>
      </c>
      <c r="J19" s="495">
        <v>83958.104135263289</v>
      </c>
      <c r="K19" s="535">
        <v>851.03507258099353</v>
      </c>
      <c r="L19" s="536">
        <v>171.58617664236434</v>
      </c>
      <c r="M19" s="494"/>
      <c r="N19" s="495"/>
      <c r="O19" s="495"/>
      <c r="P19" s="535"/>
      <c r="Q19" s="536"/>
      <c r="R19" s="494"/>
      <c r="S19" s="495"/>
      <c r="T19" s="495"/>
      <c r="U19" s="535"/>
      <c r="V19" s="536"/>
      <c r="W19" s="494"/>
      <c r="X19" s="495"/>
      <c r="Y19" s="495"/>
      <c r="Z19" s="535"/>
      <c r="AA19" s="536"/>
      <c r="AC19" s="511" t="str">
        <f t="shared" si="5"/>
        <v>Oct</v>
      </c>
      <c r="AD19" s="512">
        <f t="shared" si="6"/>
        <v>1376402</v>
      </c>
      <c r="AE19" s="369">
        <f t="shared" si="1"/>
        <v>1376402</v>
      </c>
      <c r="AF19" s="369">
        <f t="shared" si="2"/>
        <v>0</v>
      </c>
      <c r="AG19" s="369">
        <f t="shared" si="3"/>
        <v>0</v>
      </c>
      <c r="AH19" s="513">
        <f t="shared" si="4"/>
        <v>0</v>
      </c>
      <c r="AI19" s="511" t="str">
        <f t="shared" si="7"/>
        <v>Oct</v>
      </c>
      <c r="AJ19" s="512">
        <f t="shared" si="8"/>
        <v>942648.75</v>
      </c>
      <c r="AK19" s="369">
        <f t="shared" si="9"/>
        <v>942648.75</v>
      </c>
      <c r="AL19" s="369">
        <f t="shared" si="10"/>
        <v>0</v>
      </c>
      <c r="AM19" s="369">
        <f t="shared" si="11"/>
        <v>0</v>
      </c>
      <c r="AN19" s="513">
        <f t="shared" si="12"/>
        <v>0</v>
      </c>
      <c r="AO19" s="511" t="str">
        <f t="shared" si="13"/>
        <v>Oct</v>
      </c>
      <c r="AP19" s="512">
        <f t="shared" si="14"/>
        <v>82958.104135263289</v>
      </c>
      <c r="AQ19" s="369">
        <f t="shared" si="15"/>
        <v>83958.104135263289</v>
      </c>
      <c r="AR19" s="369">
        <f t="shared" si="16"/>
        <v>0</v>
      </c>
      <c r="AS19" s="369">
        <f t="shared" si="17"/>
        <v>0</v>
      </c>
      <c r="AT19" s="513">
        <f t="shared" si="18"/>
        <v>0</v>
      </c>
      <c r="AU19" s="503" t="str">
        <f t="shared" si="19"/>
        <v>Oct</v>
      </c>
      <c r="AV19" s="504">
        <f t="shared" si="20"/>
        <v>851.03507258099353</v>
      </c>
      <c r="AW19" s="505">
        <f t="shared" si="21"/>
        <v>851.03507258099353</v>
      </c>
      <c r="AX19" s="505">
        <f t="shared" si="22"/>
        <v>0</v>
      </c>
      <c r="AY19" s="505">
        <f t="shared" si="23"/>
        <v>0</v>
      </c>
      <c r="AZ19" s="506">
        <f t="shared" si="24"/>
        <v>0</v>
      </c>
      <c r="BA19" s="511" t="str">
        <f t="shared" si="25"/>
        <v>Oct</v>
      </c>
      <c r="BB19" s="512">
        <f t="shared" si="26"/>
        <v>171.58617664236434</v>
      </c>
      <c r="BC19" s="369">
        <f t="shared" si="27"/>
        <v>171.58617664236434</v>
      </c>
      <c r="BD19" s="369">
        <f t="shared" si="28"/>
        <v>0</v>
      </c>
      <c r="BE19" s="369">
        <f t="shared" si="29"/>
        <v>0</v>
      </c>
      <c r="BF19" s="513">
        <f t="shared" si="30"/>
        <v>0</v>
      </c>
    </row>
    <row r="20" spans="1:58" ht="14.25" customHeight="1" x14ac:dyDescent="0.2">
      <c r="A20" s="132" t="str">
        <f t="shared" si="0"/>
        <v>Nov2017</v>
      </c>
      <c r="B20" s="199" t="s">
        <v>10</v>
      </c>
      <c r="C20" s="693">
        <f>Sum!C20</f>
        <v>1481494.0000000002</v>
      </c>
      <c r="D20" s="694">
        <f>Sum!G20</f>
        <v>1057635</v>
      </c>
      <c r="E20" s="694">
        <f>Sum!M20</f>
        <v>98736.566315229778</v>
      </c>
      <c r="F20" s="695">
        <f>Sum!S20</f>
        <v>924.69999796976253</v>
      </c>
      <c r="G20" s="696">
        <f>KPI!U32</f>
        <v>197.20684329055743</v>
      </c>
      <c r="H20" s="494">
        <v>1481494.0000000002</v>
      </c>
      <c r="I20" s="495">
        <v>1057635</v>
      </c>
      <c r="J20" s="495">
        <v>99736.566315229778</v>
      </c>
      <c r="K20" s="535">
        <v>924.69999796976253</v>
      </c>
      <c r="L20" s="536">
        <v>197.20684329055743</v>
      </c>
      <c r="M20" s="494"/>
      <c r="N20" s="495"/>
      <c r="O20" s="495"/>
      <c r="P20" s="535"/>
      <c r="Q20" s="536"/>
      <c r="R20" s="494"/>
      <c r="S20" s="495"/>
      <c r="T20" s="495"/>
      <c r="U20" s="535"/>
      <c r="V20" s="536"/>
      <c r="W20" s="494"/>
      <c r="X20" s="495"/>
      <c r="Y20" s="495"/>
      <c r="Z20" s="535"/>
      <c r="AA20" s="536"/>
      <c r="AC20" s="511" t="str">
        <f t="shared" si="5"/>
        <v>Nov</v>
      </c>
      <c r="AD20" s="512">
        <f t="shared" si="6"/>
        <v>1481494.0000000002</v>
      </c>
      <c r="AE20" s="369">
        <f t="shared" si="1"/>
        <v>1481494.0000000002</v>
      </c>
      <c r="AF20" s="369">
        <f t="shared" si="2"/>
        <v>0</v>
      </c>
      <c r="AG20" s="369">
        <f t="shared" si="3"/>
        <v>0</v>
      </c>
      <c r="AH20" s="513">
        <f t="shared" si="4"/>
        <v>0</v>
      </c>
      <c r="AI20" s="511" t="str">
        <f t="shared" si="7"/>
        <v>Nov</v>
      </c>
      <c r="AJ20" s="512">
        <f t="shared" si="8"/>
        <v>1057635</v>
      </c>
      <c r="AK20" s="369">
        <f t="shared" si="9"/>
        <v>1057635</v>
      </c>
      <c r="AL20" s="369">
        <f t="shared" si="10"/>
        <v>0</v>
      </c>
      <c r="AM20" s="369">
        <f t="shared" si="11"/>
        <v>0</v>
      </c>
      <c r="AN20" s="513">
        <f t="shared" si="12"/>
        <v>0</v>
      </c>
      <c r="AO20" s="511" t="str">
        <f t="shared" si="13"/>
        <v>Nov</v>
      </c>
      <c r="AP20" s="512">
        <f t="shared" si="14"/>
        <v>98736.566315229778</v>
      </c>
      <c r="AQ20" s="369">
        <f t="shared" si="15"/>
        <v>99736.566315229778</v>
      </c>
      <c r="AR20" s="369">
        <f t="shared" si="16"/>
        <v>0</v>
      </c>
      <c r="AS20" s="369">
        <f t="shared" si="17"/>
        <v>0</v>
      </c>
      <c r="AT20" s="513">
        <f t="shared" si="18"/>
        <v>0</v>
      </c>
      <c r="AU20" s="503" t="str">
        <f t="shared" si="19"/>
        <v>Nov</v>
      </c>
      <c r="AV20" s="504">
        <f t="shared" si="20"/>
        <v>924.69999796976253</v>
      </c>
      <c r="AW20" s="505">
        <f t="shared" si="21"/>
        <v>924.69999796976253</v>
      </c>
      <c r="AX20" s="505">
        <f t="shared" si="22"/>
        <v>0</v>
      </c>
      <c r="AY20" s="505">
        <f t="shared" si="23"/>
        <v>0</v>
      </c>
      <c r="AZ20" s="506">
        <f t="shared" si="24"/>
        <v>0</v>
      </c>
      <c r="BA20" s="511" t="str">
        <f t="shared" si="25"/>
        <v>Nov</v>
      </c>
      <c r="BB20" s="512">
        <f t="shared" si="26"/>
        <v>197.20684329055743</v>
      </c>
      <c r="BC20" s="369">
        <f t="shared" si="27"/>
        <v>197.20684329055743</v>
      </c>
      <c r="BD20" s="369">
        <f t="shared" si="28"/>
        <v>0</v>
      </c>
      <c r="BE20" s="369">
        <f t="shared" si="29"/>
        <v>0</v>
      </c>
      <c r="BF20" s="513">
        <f t="shared" si="30"/>
        <v>0</v>
      </c>
    </row>
    <row r="21" spans="1:58" ht="14.25" customHeight="1" thickBot="1" x14ac:dyDescent="0.25">
      <c r="A21" s="132" t="str">
        <f t="shared" si="0"/>
        <v>Dec2017</v>
      </c>
      <c r="B21" s="209" t="s">
        <v>11</v>
      </c>
      <c r="C21" s="693">
        <f>Sum!C21</f>
        <v>1329942</v>
      </c>
      <c r="D21" s="694">
        <f>Sum!G21</f>
        <v>1068750</v>
      </c>
      <c r="E21" s="694">
        <f>Sum!M21</f>
        <v>92790.651319628727</v>
      </c>
      <c r="F21" s="695">
        <f>Sum!S21</f>
        <v>854.19964380129591</v>
      </c>
      <c r="G21" s="696">
        <f>KPI!U33</f>
        <v>165.81876731170564</v>
      </c>
      <c r="H21" s="494">
        <v>1329942</v>
      </c>
      <c r="I21" s="495">
        <v>1068750</v>
      </c>
      <c r="J21" s="495">
        <v>93790.651319628727</v>
      </c>
      <c r="K21" s="535">
        <v>854.19964380129591</v>
      </c>
      <c r="L21" s="536">
        <v>165.81876731170564</v>
      </c>
      <c r="M21" s="494"/>
      <c r="N21" s="495"/>
      <c r="O21" s="495"/>
      <c r="P21" s="535"/>
      <c r="Q21" s="536"/>
      <c r="R21" s="494"/>
      <c r="S21" s="495"/>
      <c r="T21" s="495"/>
      <c r="U21" s="535"/>
      <c r="V21" s="536"/>
      <c r="W21" s="494"/>
      <c r="X21" s="495"/>
      <c r="Y21" s="495"/>
      <c r="Z21" s="535"/>
      <c r="AA21" s="536"/>
      <c r="AC21" s="514" t="str">
        <f t="shared" si="5"/>
        <v>Dec</v>
      </c>
      <c r="AD21" s="515">
        <f t="shared" si="6"/>
        <v>1329942</v>
      </c>
      <c r="AE21" s="516">
        <f t="shared" si="1"/>
        <v>1329942</v>
      </c>
      <c r="AF21" s="516">
        <f t="shared" si="2"/>
        <v>0</v>
      </c>
      <c r="AG21" s="516">
        <f t="shared" si="3"/>
        <v>0</v>
      </c>
      <c r="AH21" s="517">
        <f t="shared" si="4"/>
        <v>0</v>
      </c>
      <c r="AI21" s="514" t="str">
        <f t="shared" si="7"/>
        <v>Dec</v>
      </c>
      <c r="AJ21" s="515">
        <f t="shared" si="8"/>
        <v>1068750</v>
      </c>
      <c r="AK21" s="516">
        <f t="shared" si="9"/>
        <v>1068750</v>
      </c>
      <c r="AL21" s="516">
        <f t="shared" si="10"/>
        <v>0</v>
      </c>
      <c r="AM21" s="516">
        <f t="shared" si="11"/>
        <v>0</v>
      </c>
      <c r="AN21" s="517">
        <f t="shared" si="12"/>
        <v>0</v>
      </c>
      <c r="AO21" s="514" t="str">
        <f t="shared" si="13"/>
        <v>Dec</v>
      </c>
      <c r="AP21" s="515">
        <f t="shared" si="14"/>
        <v>92790.651319628727</v>
      </c>
      <c r="AQ21" s="516">
        <f t="shared" si="15"/>
        <v>93790.651319628727</v>
      </c>
      <c r="AR21" s="516">
        <f t="shared" si="16"/>
        <v>0</v>
      </c>
      <c r="AS21" s="516">
        <f t="shared" si="17"/>
        <v>0</v>
      </c>
      <c r="AT21" s="517">
        <f t="shared" si="18"/>
        <v>0</v>
      </c>
      <c r="AU21" s="518" t="str">
        <f t="shared" si="19"/>
        <v>Dec</v>
      </c>
      <c r="AV21" s="519">
        <f t="shared" si="20"/>
        <v>854.19964380129591</v>
      </c>
      <c r="AW21" s="520">
        <f t="shared" si="21"/>
        <v>854.19964380129591</v>
      </c>
      <c r="AX21" s="520">
        <f t="shared" si="22"/>
        <v>0</v>
      </c>
      <c r="AY21" s="520">
        <f t="shared" si="23"/>
        <v>0</v>
      </c>
      <c r="AZ21" s="521">
        <f t="shared" si="24"/>
        <v>0</v>
      </c>
      <c r="BA21" s="514" t="str">
        <f t="shared" si="25"/>
        <v>Dec</v>
      </c>
      <c r="BB21" s="515">
        <f t="shared" si="26"/>
        <v>165.81876731170564</v>
      </c>
      <c r="BC21" s="516">
        <f t="shared" si="27"/>
        <v>165.81876731170564</v>
      </c>
      <c r="BD21" s="516">
        <f t="shared" si="28"/>
        <v>0</v>
      </c>
      <c r="BE21" s="516">
        <f t="shared" si="29"/>
        <v>0</v>
      </c>
      <c r="BF21" s="517">
        <f t="shared" si="30"/>
        <v>0</v>
      </c>
    </row>
    <row r="22" spans="1:58" s="210" customFormat="1" ht="14.25" customHeight="1" thickBot="1" x14ac:dyDescent="0.25">
      <c r="B22" s="211" t="s">
        <v>23</v>
      </c>
      <c r="C22" s="697">
        <f>SUM(C10:C21)</f>
        <v>15141730</v>
      </c>
      <c r="D22" s="698">
        <f>SUM(D10:D21)</f>
        <v>11723085</v>
      </c>
      <c r="E22" s="698">
        <f>SUM(E10:E21)</f>
        <v>855110.09448401944</v>
      </c>
      <c r="F22" s="699">
        <f>SUM(F10:F21)</f>
        <v>9635.4352542116649</v>
      </c>
      <c r="G22" s="700"/>
      <c r="H22" s="496">
        <v>15141730</v>
      </c>
      <c r="I22" s="497">
        <v>11723085</v>
      </c>
      <c r="J22" s="497">
        <v>867110.09448401944</v>
      </c>
      <c r="K22" s="537">
        <v>9635.4352542116649</v>
      </c>
      <c r="L22" s="538"/>
      <c r="M22" s="496"/>
      <c r="N22" s="497"/>
      <c r="O22" s="497"/>
      <c r="P22" s="537"/>
      <c r="Q22" s="538"/>
      <c r="R22" s="496"/>
      <c r="S22" s="497"/>
      <c r="T22" s="497"/>
      <c r="U22" s="537"/>
      <c r="V22" s="538"/>
      <c r="W22" s="496"/>
      <c r="X22" s="497"/>
      <c r="Y22" s="497"/>
      <c r="Z22" s="537"/>
      <c r="AA22" s="538"/>
      <c r="AB22" s="162"/>
      <c r="AC22" s="162"/>
      <c r="AD22" s="162"/>
      <c r="AE22" s="162"/>
      <c r="AF22" s="162"/>
      <c r="AG22" s="161"/>
      <c r="AH22" s="161"/>
      <c r="AI22" s="154"/>
      <c r="AJ22" s="184"/>
      <c r="AK22" s="184"/>
      <c r="AL22" s="184"/>
    </row>
    <row r="23" spans="1:58" x14ac:dyDescent="0.2">
      <c r="AJ23" s="184"/>
      <c r="AK23" s="184"/>
      <c r="AL23" s="184"/>
    </row>
    <row r="24" spans="1:58" x14ac:dyDescent="0.2">
      <c r="B24" s="157"/>
      <c r="C24" s="522" t="s">
        <v>65</v>
      </c>
      <c r="D24" s="522" t="s">
        <v>163</v>
      </c>
      <c r="E24" s="522" t="s">
        <v>165</v>
      </c>
      <c r="F24" s="523" t="s">
        <v>166</v>
      </c>
      <c r="G24" s="523" t="s">
        <v>164</v>
      </c>
      <c r="AJ24" s="184"/>
      <c r="AK24" s="184"/>
      <c r="AL24" s="184"/>
    </row>
    <row r="25" spans="1:58" x14ac:dyDescent="0.2">
      <c r="C25" s="522" t="s">
        <v>13</v>
      </c>
      <c r="D25" s="522" t="s">
        <v>13</v>
      </c>
      <c r="E25" s="522" t="str">
        <f>"["&amp;Start!$O$7&amp;"]"</f>
        <v>[$]</v>
      </c>
      <c r="F25" s="523" t="s">
        <v>72</v>
      </c>
      <c r="G25" s="523" t="str">
        <f>KPI!H21</f>
        <v>[Ton]</v>
      </c>
    </row>
    <row r="26" spans="1:58" x14ac:dyDescent="0.2">
      <c r="B26" s="56"/>
      <c r="C26" s="60"/>
      <c r="D26" s="60"/>
      <c r="E26" s="60"/>
      <c r="F26" s="524"/>
    </row>
    <row r="27" spans="1:58" x14ac:dyDescent="0.2">
      <c r="B27" s="738" t="s">
        <v>170</v>
      </c>
      <c r="C27" s="739"/>
      <c r="D27" s="739"/>
      <c r="E27" s="739"/>
      <c r="F27" s="740"/>
    </row>
    <row r="28" spans="1:58" x14ac:dyDescent="0.2">
      <c r="B28" s="59"/>
      <c r="C28" s="60"/>
      <c r="D28" s="60"/>
      <c r="E28" s="60"/>
      <c r="F28" s="524"/>
    </row>
    <row r="29" spans="1:58" x14ac:dyDescent="0.2">
      <c r="B29" s="741" t="s">
        <v>171</v>
      </c>
      <c r="C29" s="742"/>
      <c r="D29" s="742"/>
      <c r="E29" s="742"/>
      <c r="F29" s="743"/>
    </row>
    <row r="30" spans="1:58" x14ac:dyDescent="0.2">
      <c r="B30" s="62"/>
      <c r="C30" s="63"/>
      <c r="D30" s="63"/>
      <c r="E30" s="63"/>
      <c r="F30" s="525"/>
    </row>
  </sheetData>
  <sheetProtection sheet="1" objects="1" scenarios="1"/>
  <mergeCells count="4">
    <mergeCell ref="B6:G6"/>
    <mergeCell ref="H6:Q6"/>
    <mergeCell ref="B27:F27"/>
    <mergeCell ref="B29:F29"/>
  </mergeCells>
  <phoneticPr fontId="1" type="noConversion"/>
  <hyperlinks>
    <hyperlink ref="B27" location="Start!R1C1" display="Click here to jump back to start page" xr:uid="{00000000-0004-0000-0900-000000000000}"/>
    <hyperlink ref="B29:F29" location="'(Annual)'!R1C1" display="Click here to jump to diagrams" xr:uid="{00000000-0004-0000-0900-000001000000}"/>
  </hyperlinks>
  <pageMargins left="0.15748031496062992" right="0.15748031496062992"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0"/>
  <dimension ref="A1:BB89"/>
  <sheetViews>
    <sheetView showGridLines="0" zoomScaleNormal="100" workbookViewId="0">
      <selection activeCell="E11" sqref="E11"/>
    </sheetView>
  </sheetViews>
  <sheetFormatPr defaultColWidth="9.140625" defaultRowHeight="12.75" x14ac:dyDescent="0.2"/>
  <cols>
    <col min="1" max="1" width="4.42578125" style="314" customWidth="1"/>
    <col min="2" max="2" width="18.5703125" style="155" customWidth="1"/>
    <col min="3" max="3" width="8.42578125" style="155" customWidth="1"/>
    <col min="4" max="4" width="8.140625" style="155" customWidth="1"/>
    <col min="5" max="5" width="11.7109375" style="155" customWidth="1"/>
    <col min="6" max="9" width="8.85546875" style="154" customWidth="1"/>
    <col min="10" max="10" width="11.5703125" style="554" customWidth="1"/>
    <col min="11" max="11" width="12.7109375" style="554" customWidth="1"/>
    <col min="12" max="12" width="14.42578125" style="554" customWidth="1"/>
    <col min="13" max="17" width="9.85546875" style="154" customWidth="1"/>
    <col min="18" max="18" width="1.85546875" style="160" customWidth="1"/>
    <col min="19" max="19" width="25.7109375" style="160" customWidth="1"/>
    <col min="20" max="26" width="8.42578125" style="160" customWidth="1"/>
    <col min="27" max="29" width="9.85546875" style="160" customWidth="1"/>
    <col min="30" max="31" width="16.5703125" style="160" customWidth="1"/>
    <col min="32" max="34" width="9.85546875" style="160" customWidth="1"/>
    <col min="35" max="35" width="9.140625" style="161"/>
    <col min="36" max="36" width="9.7109375" style="161" customWidth="1"/>
    <col min="37" max="37" width="12.85546875" style="161" customWidth="1"/>
    <col min="38" max="38" width="12.28515625" style="160" customWidth="1"/>
    <col min="39" max="39" width="13" style="160" customWidth="1"/>
    <col min="40" max="42" width="9.140625" style="160"/>
    <col min="43" max="45" width="9.140625" style="154"/>
    <col min="46" max="54" width="9.140625" style="316"/>
    <col min="55" max="16384" width="9.140625" style="154"/>
  </cols>
  <sheetData>
    <row r="1" spans="1:54" ht="15" customHeight="1" x14ac:dyDescent="0.2">
      <c r="A1" s="222"/>
      <c r="B1" s="154"/>
      <c r="C1" s="166"/>
      <c r="D1" s="73"/>
      <c r="E1" s="154"/>
      <c r="G1" s="224"/>
      <c r="M1" s="56"/>
      <c r="N1" s="57"/>
      <c r="O1" s="57"/>
      <c r="P1" s="57"/>
      <c r="Q1" s="58"/>
      <c r="R1" s="161"/>
      <c r="S1" s="161"/>
      <c r="T1" s="161"/>
      <c r="U1" s="161"/>
      <c r="V1" s="161"/>
      <c r="W1" s="161"/>
      <c r="X1" s="161"/>
      <c r="Y1" s="161"/>
      <c r="Z1" s="161"/>
      <c r="AA1" s="161"/>
      <c r="AB1" s="161"/>
      <c r="AC1" s="161"/>
      <c r="AD1" s="161"/>
      <c r="AE1" s="161"/>
      <c r="AF1" s="161"/>
      <c r="AG1" s="161"/>
      <c r="AH1" s="161"/>
      <c r="AL1" s="162"/>
      <c r="AM1" s="162"/>
      <c r="AN1" s="162"/>
      <c r="AO1" s="162"/>
      <c r="AP1" s="162"/>
      <c r="AQ1" s="162"/>
      <c r="AR1" s="162"/>
      <c r="AS1" s="162"/>
      <c r="AT1" s="315"/>
      <c r="AU1" s="315"/>
    </row>
    <row r="2" spans="1:54" s="71" customFormat="1" ht="15" customHeight="1" thickBot="1" x14ac:dyDescent="0.25">
      <c r="A2" s="132"/>
      <c r="B2" s="132"/>
      <c r="C2" s="132"/>
      <c r="D2" s="132"/>
      <c r="E2" s="132"/>
      <c r="F2" s="132"/>
      <c r="G2" s="132"/>
      <c r="H2" s="132"/>
      <c r="I2" s="571" t="s">
        <v>223</v>
      </c>
      <c r="J2" s="572" t="str">
        <f>B7&amp;" Energy and Power Consumption"</f>
        <v>process 1 Energy and Power Consumption</v>
      </c>
      <c r="K2" s="555"/>
      <c r="L2" s="555"/>
      <c r="M2" s="738" t="s">
        <v>170</v>
      </c>
      <c r="N2" s="739"/>
      <c r="O2" s="739"/>
      <c r="P2" s="739"/>
      <c r="Q2" s="740"/>
      <c r="AM2" s="72"/>
      <c r="AN2" s="77"/>
      <c r="AO2" s="77"/>
      <c r="AP2" s="72"/>
      <c r="AQ2" s="72"/>
      <c r="AR2" s="72"/>
      <c r="AS2" s="72"/>
      <c r="AT2" s="86"/>
      <c r="AU2" s="83"/>
      <c r="AV2" s="83"/>
      <c r="AW2" s="83"/>
      <c r="AX2" s="86"/>
      <c r="AY2" s="319"/>
      <c r="AZ2" s="86"/>
      <c r="BA2" s="86"/>
      <c r="BB2" s="86"/>
    </row>
    <row r="3" spans="1:54" s="71" customFormat="1" ht="15" customHeight="1" thickBot="1" x14ac:dyDescent="0.25">
      <c r="A3" s="132"/>
      <c r="B3" s="132"/>
      <c r="C3" s="132"/>
      <c r="D3" s="132"/>
      <c r="E3" s="528" t="s">
        <v>222</v>
      </c>
      <c r="F3" s="526" t="s">
        <v>592</v>
      </c>
      <c r="G3" s="132"/>
      <c r="H3" s="132"/>
      <c r="I3" s="571" t="s">
        <v>224</v>
      </c>
      <c r="J3" s="572" t="str">
        <f>B7&amp;" KPI"</f>
        <v>process 1 KPI</v>
      </c>
      <c r="K3" s="555"/>
      <c r="L3" s="555"/>
      <c r="M3" s="59"/>
      <c r="N3" s="60"/>
      <c r="O3" s="60"/>
      <c r="P3" s="60"/>
      <c r="Q3" s="61"/>
      <c r="AM3" s="72"/>
      <c r="AN3" s="77"/>
      <c r="AO3" s="77"/>
      <c r="AP3" s="72"/>
      <c r="AQ3" s="72"/>
      <c r="AR3" s="72"/>
      <c r="AS3" s="72"/>
      <c r="AT3" s="86"/>
      <c r="AU3" s="83"/>
      <c r="AV3" s="83"/>
      <c r="AW3" s="83"/>
      <c r="AX3" s="86"/>
      <c r="AY3" s="319"/>
      <c r="AZ3" s="86"/>
      <c r="BA3" s="86"/>
      <c r="BB3" s="86"/>
    </row>
    <row r="4" spans="1:54" s="71" customFormat="1" ht="15" customHeight="1" x14ac:dyDescent="0.2">
      <c r="A4" s="132"/>
      <c r="B4" s="132"/>
      <c r="C4" s="132"/>
      <c r="D4" s="132"/>
      <c r="E4" s="132"/>
      <c r="F4" s="132"/>
      <c r="G4" s="244"/>
      <c r="H4" s="237"/>
      <c r="I4" s="571" t="s">
        <v>314</v>
      </c>
      <c r="J4" s="572" t="str">
        <f>B7&amp;" Energy and Production"</f>
        <v>process 1 Energy and Production</v>
      </c>
      <c r="K4" s="555"/>
      <c r="L4" s="555"/>
      <c r="M4" s="741" t="s">
        <v>171</v>
      </c>
      <c r="N4" s="742"/>
      <c r="O4" s="742"/>
      <c r="P4" s="742"/>
      <c r="Q4" s="743"/>
      <c r="AM4" s="72"/>
      <c r="AN4" s="77"/>
      <c r="AO4" s="77"/>
      <c r="AP4" s="72"/>
      <c r="AQ4" s="72"/>
      <c r="AR4" s="72"/>
      <c r="AS4" s="72"/>
      <c r="AT4" s="86"/>
      <c r="AU4" s="83"/>
      <c r="AV4" s="83"/>
      <c r="AW4" s="83"/>
      <c r="AX4" s="86"/>
      <c r="AY4" s="319"/>
      <c r="AZ4" s="86"/>
      <c r="BA4" s="86"/>
      <c r="BB4" s="86"/>
    </row>
    <row r="5" spans="1:54" s="71" customFormat="1" ht="15" customHeight="1" x14ac:dyDescent="0.2">
      <c r="A5" s="132"/>
      <c r="B5" s="132"/>
      <c r="C5" s="132"/>
      <c r="D5" s="132"/>
      <c r="E5" s="132"/>
      <c r="F5" s="132"/>
      <c r="G5" s="132"/>
      <c r="H5" s="132"/>
      <c r="I5" s="571" t="s">
        <v>315</v>
      </c>
      <c r="J5" s="572" t="str">
        <f>B7&amp;" Energy and Temperature"</f>
        <v>process 1 Energy and Temperature</v>
      </c>
      <c r="K5" s="556"/>
      <c r="L5" s="556"/>
      <c r="M5" s="529"/>
      <c r="N5" s="63"/>
      <c r="O5" s="63"/>
      <c r="P5" s="63"/>
      <c r="Q5" s="64"/>
      <c r="AM5" s="72"/>
      <c r="AN5" s="77"/>
      <c r="AO5" s="77"/>
      <c r="AP5" s="72"/>
      <c r="AQ5" s="72"/>
      <c r="AR5" s="72"/>
      <c r="AS5" s="72"/>
      <c r="AT5" s="86"/>
      <c r="AU5" s="83"/>
      <c r="AV5" s="83"/>
      <c r="AW5" s="83"/>
      <c r="AX5" s="86"/>
      <c r="AY5" s="319"/>
      <c r="AZ5" s="86"/>
      <c r="BA5" s="86"/>
      <c r="BB5" s="86"/>
    </row>
    <row r="6" spans="1:54" s="71" customFormat="1" ht="23.25" customHeight="1" x14ac:dyDescent="0.2">
      <c r="A6" s="132"/>
      <c r="B6" s="801" t="s">
        <v>304</v>
      </c>
      <c r="C6" s="802"/>
      <c r="D6" s="802"/>
      <c r="E6" s="803"/>
      <c r="F6" s="798" t="s">
        <v>182</v>
      </c>
      <c r="G6" s="799"/>
      <c r="H6" s="799"/>
      <c r="I6" s="800"/>
      <c r="J6" s="811" t="s">
        <v>183</v>
      </c>
      <c r="K6" s="812"/>
      <c r="L6" s="813"/>
      <c r="AM6" s="72"/>
      <c r="AN6" s="77"/>
      <c r="AO6" s="77"/>
      <c r="AP6" s="72"/>
      <c r="AQ6" s="72"/>
      <c r="AR6" s="72"/>
      <c r="AS6" s="72"/>
      <c r="AT6" s="86"/>
      <c r="AU6" s="83"/>
      <c r="AV6" s="83"/>
      <c r="AW6" s="83"/>
      <c r="AX6" s="86"/>
      <c r="AY6" s="319"/>
      <c r="AZ6" s="86"/>
      <c r="BA6" s="86"/>
      <c r="BB6" s="86"/>
    </row>
    <row r="7" spans="1:54" s="174" customFormat="1" ht="26.25" customHeight="1" x14ac:dyDescent="0.2">
      <c r="A7" s="325"/>
      <c r="B7" s="808" t="s">
        <v>347</v>
      </c>
      <c r="C7" s="809"/>
      <c r="D7" s="809"/>
      <c r="E7" s="809"/>
      <c r="F7" s="808"/>
      <c r="G7" s="810"/>
      <c r="H7" s="808"/>
      <c r="I7" s="810"/>
      <c r="J7" s="806" t="s">
        <v>184</v>
      </c>
      <c r="K7" s="807"/>
      <c r="L7" s="557" t="s">
        <v>185</v>
      </c>
      <c r="M7" s="71"/>
      <c r="N7" s="71"/>
      <c r="O7" s="71"/>
      <c r="P7" s="71"/>
      <c r="Q7" s="71"/>
      <c r="AI7" s="326"/>
      <c r="AJ7" s="326"/>
      <c r="AK7" s="326"/>
      <c r="AL7" s="319"/>
      <c r="AM7" s="319"/>
      <c r="AN7" s="319"/>
      <c r="AO7" s="319"/>
      <c r="AP7" s="319"/>
      <c r="AQ7" s="319"/>
      <c r="AR7" s="319"/>
      <c r="AS7" s="319"/>
      <c r="AT7" s="319"/>
      <c r="AU7" s="319"/>
      <c r="AV7" s="319"/>
      <c r="AW7" s="319"/>
      <c r="AX7" s="319"/>
      <c r="AY7" s="319"/>
      <c r="AZ7" s="319"/>
      <c r="BA7" s="319"/>
      <c r="BB7" s="319"/>
    </row>
    <row r="8" spans="1:54" s="184" customFormat="1" ht="22.5" x14ac:dyDescent="0.2">
      <c r="A8" s="271"/>
      <c r="B8" s="804" t="s">
        <v>225</v>
      </c>
      <c r="C8" s="351" t="s">
        <v>83</v>
      </c>
      <c r="D8" s="273" t="s">
        <v>189</v>
      </c>
      <c r="E8" s="273" t="s">
        <v>157</v>
      </c>
      <c r="F8" s="546">
        <v>11.9</v>
      </c>
      <c r="G8" s="547" t="s">
        <v>348</v>
      </c>
      <c r="H8" s="548">
        <v>11.9</v>
      </c>
      <c r="I8" s="547" t="s">
        <v>349</v>
      </c>
      <c r="J8" s="558" t="s">
        <v>186</v>
      </c>
      <c r="K8" s="558" t="s">
        <v>188</v>
      </c>
      <c r="L8" s="558" t="s">
        <v>187</v>
      </c>
      <c r="M8" s="71"/>
      <c r="N8" s="71"/>
      <c r="O8" s="71"/>
      <c r="P8" s="71"/>
      <c r="Q8" s="71"/>
      <c r="AI8" s="280">
        <f>M7</f>
        <v>0</v>
      </c>
      <c r="AJ8" s="280">
        <f>N7</f>
        <v>0</v>
      </c>
      <c r="AK8" s="280">
        <f>O7</f>
        <v>0</v>
      </c>
      <c r="AL8" s="280">
        <f>P7</f>
        <v>0</v>
      </c>
      <c r="AM8" s="280">
        <f>Q7</f>
        <v>0</v>
      </c>
      <c r="AN8" s="280">
        <f>M7</f>
        <v>0</v>
      </c>
      <c r="AO8" s="280">
        <f>N7</f>
        <v>0</v>
      </c>
      <c r="AP8" s="280">
        <f>O7</f>
        <v>0</v>
      </c>
      <c r="AQ8" s="280">
        <f>P7</f>
        <v>0</v>
      </c>
      <c r="AR8" s="280">
        <f>Q7</f>
        <v>0</v>
      </c>
      <c r="AS8" s="319"/>
      <c r="AT8" s="331"/>
      <c r="AU8" s="331"/>
      <c r="AV8" s="331"/>
      <c r="AW8" s="331"/>
      <c r="AX8" s="331"/>
      <c r="AY8" s="331"/>
      <c r="AZ8" s="331"/>
      <c r="BA8" s="331"/>
      <c r="BB8" s="331"/>
    </row>
    <row r="9" spans="1:54" s="155" customFormat="1" ht="13.5" thickBot="1" x14ac:dyDescent="0.25">
      <c r="A9" s="281"/>
      <c r="B9" s="805"/>
      <c r="C9" s="549" t="str">
        <f>$F$9</f>
        <v>[kW]</v>
      </c>
      <c r="D9" s="550" t="s">
        <v>22</v>
      </c>
      <c r="E9" s="551" t="str">
        <f>"[kWh]"&amp;"/"&amp;J9</f>
        <v>[kWh]/tons</v>
      </c>
      <c r="F9" s="549" t="str">
        <f>"["&amp;F3&amp;"]"</f>
        <v>[kW]</v>
      </c>
      <c r="G9" s="552" t="s">
        <v>593</v>
      </c>
      <c r="H9" s="549" t="str">
        <f>$F$9</f>
        <v>[kW]</v>
      </c>
      <c r="I9" s="553" t="s">
        <v>593</v>
      </c>
      <c r="J9" s="559" t="s">
        <v>346</v>
      </c>
      <c r="K9" s="560" t="str">
        <f>J9</f>
        <v>tons</v>
      </c>
      <c r="L9" s="560" t="s">
        <v>190</v>
      </c>
      <c r="M9" s="71"/>
      <c r="N9" s="71"/>
      <c r="O9" s="71"/>
      <c r="P9" s="71"/>
      <c r="Q9" s="71"/>
      <c r="AI9" s="285"/>
      <c r="AJ9" s="285"/>
      <c r="AK9" s="285"/>
      <c r="AL9" s="285"/>
      <c r="AM9" s="285"/>
      <c r="AN9" s="285"/>
      <c r="AO9" s="285"/>
      <c r="AP9" s="285"/>
      <c r="AQ9" s="332"/>
      <c r="AR9" s="285"/>
      <c r="AS9" s="319"/>
      <c r="AT9" s="333"/>
      <c r="AU9" s="333"/>
      <c r="AV9" s="333"/>
      <c r="AW9" s="333"/>
      <c r="AX9" s="333"/>
      <c r="AY9" s="333"/>
      <c r="AZ9" s="333"/>
      <c r="BA9" s="333"/>
      <c r="BB9" s="333"/>
    </row>
    <row r="10" spans="1:54" ht="14.25" customHeight="1" x14ac:dyDescent="0.2">
      <c r="A10" s="132" t="str">
        <f t="shared" ref="A10:A78" si="0">B10&amp;$C$2</f>
        <v/>
      </c>
      <c r="B10" s="545"/>
      <c r="C10" s="565">
        <f>F10+H10</f>
        <v>0</v>
      </c>
      <c r="D10" s="566"/>
      <c r="E10" s="567" t="str">
        <f>IF((J10-K10)=0,"",C10/(J10-K10))</f>
        <v/>
      </c>
      <c r="F10" s="568">
        <f>G10*$F$8</f>
        <v>0</v>
      </c>
      <c r="G10" s="565"/>
      <c r="H10" s="568">
        <f>I10*$H$8</f>
        <v>0</v>
      </c>
      <c r="I10" s="565"/>
      <c r="J10" s="570"/>
      <c r="K10" s="570"/>
      <c r="L10" s="570"/>
      <c r="M10" s="71"/>
      <c r="N10" s="71"/>
      <c r="O10" s="71"/>
      <c r="P10" s="71"/>
      <c r="Q10" s="71"/>
      <c r="AI10" s="293">
        <f>G10</f>
        <v>0</v>
      </c>
      <c r="AJ10" s="293">
        <f>I10</f>
        <v>0</v>
      </c>
      <c r="AK10" s="293" t="e">
        <f>#REF!</f>
        <v>#REF!</v>
      </c>
      <c r="AL10" s="293" t="e">
        <f>#REF!</f>
        <v>#REF!</v>
      </c>
      <c r="AM10" s="293" t="e">
        <f>#REF!</f>
        <v>#REF!</v>
      </c>
      <c r="AN10" s="293">
        <f>F10</f>
        <v>0</v>
      </c>
      <c r="AO10" s="293">
        <f>H10</f>
        <v>0</v>
      </c>
      <c r="AP10" s="293">
        <f t="shared" ref="AP10:AR11" si="1">J10</f>
        <v>0</v>
      </c>
      <c r="AQ10" s="293">
        <f t="shared" si="1"/>
        <v>0</v>
      </c>
      <c r="AR10" s="293">
        <f t="shared" si="1"/>
        <v>0</v>
      </c>
      <c r="AS10" s="319"/>
    </row>
    <row r="11" spans="1:54" ht="14.25" customHeight="1" x14ac:dyDescent="0.2">
      <c r="A11" s="132" t="str">
        <f t="shared" si="0"/>
        <v/>
      </c>
      <c r="B11" s="527"/>
      <c r="C11" s="287">
        <f>F11+H11</f>
        <v>0</v>
      </c>
      <c r="D11" s="288">
        <f>C11*(B11-B10)</f>
        <v>0</v>
      </c>
      <c r="E11" s="530" t="str">
        <f>IF((J11-K11)=0,"",C11/(J11-K11))</f>
        <v/>
      </c>
      <c r="F11" s="286">
        <f t="shared" ref="F11:F78" si="2">G11*$F$8</f>
        <v>0</v>
      </c>
      <c r="G11" s="3"/>
      <c r="H11" s="286">
        <f t="shared" ref="H11:H78" si="3">I11*$H$8</f>
        <v>0</v>
      </c>
      <c r="I11" s="3"/>
      <c r="J11" s="561"/>
      <c r="K11" s="561"/>
      <c r="L11" s="561"/>
      <c r="M11" s="71"/>
      <c r="N11" s="71"/>
      <c r="O11" s="71"/>
      <c r="P11" s="71"/>
      <c r="Q11" s="71"/>
      <c r="AI11" s="293">
        <f>G11</f>
        <v>0</v>
      </c>
      <c r="AJ11" s="293">
        <f>I11</f>
        <v>0</v>
      </c>
      <c r="AK11" s="293" t="e">
        <f>#REF!</f>
        <v>#REF!</v>
      </c>
      <c r="AL11" s="293" t="e">
        <f>#REF!</f>
        <v>#REF!</v>
      </c>
      <c r="AM11" s="293" t="e">
        <f>#REF!</f>
        <v>#REF!</v>
      </c>
      <c r="AN11" s="293">
        <f>F11</f>
        <v>0</v>
      </c>
      <c r="AO11" s="293">
        <f>H11</f>
        <v>0</v>
      </c>
      <c r="AP11" s="293">
        <f t="shared" si="1"/>
        <v>0</v>
      </c>
      <c r="AQ11" s="293">
        <f t="shared" si="1"/>
        <v>0</v>
      </c>
      <c r="AR11" s="293">
        <f t="shared" si="1"/>
        <v>0</v>
      </c>
      <c r="AS11" s="319"/>
    </row>
    <row r="12" spans="1:54" ht="14.25" customHeight="1" x14ac:dyDescent="0.2">
      <c r="A12" s="132" t="str">
        <f t="shared" si="0"/>
        <v/>
      </c>
      <c r="B12" s="527"/>
      <c r="C12" s="287">
        <f>F12+H12</f>
        <v>0</v>
      </c>
      <c r="D12" s="288">
        <f t="shared" ref="D12:D78" si="4">C12*(B12-B11)</f>
        <v>0</v>
      </c>
      <c r="E12" s="530" t="str">
        <f>IF((J12-K12)=0,"",C12/(J12-K12))</f>
        <v/>
      </c>
      <c r="F12" s="286">
        <f t="shared" si="2"/>
        <v>0</v>
      </c>
      <c r="G12" s="3"/>
      <c r="H12" s="286">
        <f t="shared" si="3"/>
        <v>0</v>
      </c>
      <c r="I12" s="3"/>
      <c r="J12" s="561"/>
      <c r="K12" s="561"/>
      <c r="L12" s="561"/>
      <c r="M12" s="71"/>
      <c r="N12" s="71"/>
      <c r="O12" s="71"/>
      <c r="P12" s="71"/>
      <c r="Q12" s="71"/>
      <c r="AI12" s="293">
        <f t="shared" ref="AI12:AI40" si="5">G12</f>
        <v>0</v>
      </c>
      <c r="AJ12" s="293">
        <f t="shared" ref="AJ12:AJ40" si="6">I12</f>
        <v>0</v>
      </c>
      <c r="AK12" s="293" t="e">
        <f>#REF!</f>
        <v>#REF!</v>
      </c>
      <c r="AL12" s="293" t="e">
        <f>#REF!</f>
        <v>#REF!</v>
      </c>
      <c r="AM12" s="293" t="e">
        <f>#REF!</f>
        <v>#REF!</v>
      </c>
      <c r="AN12" s="293">
        <f t="shared" ref="AN12:AN40" si="7">F12</f>
        <v>0</v>
      </c>
      <c r="AO12" s="293">
        <f t="shared" ref="AO12:AO40" si="8">H12</f>
        <v>0</v>
      </c>
      <c r="AP12" s="293">
        <f t="shared" ref="AP12:AP40" si="9">J12</f>
        <v>0</v>
      </c>
      <c r="AQ12" s="293">
        <f t="shared" ref="AQ12:AQ40" si="10">K12</f>
        <v>0</v>
      </c>
      <c r="AR12" s="293">
        <f t="shared" ref="AR12:AR40" si="11">L12</f>
        <v>0</v>
      </c>
      <c r="AS12" s="319"/>
    </row>
    <row r="13" spans="1:54" ht="14.25" customHeight="1" x14ac:dyDescent="0.2">
      <c r="A13" s="132" t="str">
        <f t="shared" si="0"/>
        <v/>
      </c>
      <c r="B13" s="527"/>
      <c r="C13" s="287">
        <f>F13+H13</f>
        <v>0</v>
      </c>
      <c r="D13" s="288">
        <f t="shared" si="4"/>
        <v>0</v>
      </c>
      <c r="E13" s="530" t="str">
        <f>IF((J13-K13)=0,"",C13/(J13-K13))</f>
        <v/>
      </c>
      <c r="F13" s="286">
        <f t="shared" si="2"/>
        <v>0</v>
      </c>
      <c r="G13" s="3"/>
      <c r="H13" s="286">
        <f t="shared" si="3"/>
        <v>0</v>
      </c>
      <c r="I13" s="3"/>
      <c r="J13" s="561"/>
      <c r="K13" s="561"/>
      <c r="L13" s="561"/>
      <c r="M13" s="71"/>
      <c r="N13" s="71"/>
      <c r="O13" s="71"/>
      <c r="P13" s="71"/>
      <c r="Q13" s="71"/>
      <c r="AI13" s="293">
        <f t="shared" si="5"/>
        <v>0</v>
      </c>
      <c r="AJ13" s="293">
        <f t="shared" si="6"/>
        <v>0</v>
      </c>
      <c r="AK13" s="293" t="e">
        <f>#REF!</f>
        <v>#REF!</v>
      </c>
      <c r="AL13" s="293" t="e">
        <f>#REF!</f>
        <v>#REF!</v>
      </c>
      <c r="AM13" s="293" t="e">
        <f>#REF!</f>
        <v>#REF!</v>
      </c>
      <c r="AN13" s="293">
        <f t="shared" si="7"/>
        <v>0</v>
      </c>
      <c r="AO13" s="293">
        <f t="shared" si="8"/>
        <v>0</v>
      </c>
      <c r="AP13" s="293">
        <f t="shared" si="9"/>
        <v>0</v>
      </c>
      <c r="AQ13" s="293">
        <f t="shared" si="10"/>
        <v>0</v>
      </c>
      <c r="AR13" s="293">
        <f t="shared" si="11"/>
        <v>0</v>
      </c>
      <c r="AS13" s="319"/>
    </row>
    <row r="14" spans="1:54" ht="14.25" customHeight="1" x14ac:dyDescent="0.2">
      <c r="A14" s="132" t="str">
        <f t="shared" si="0"/>
        <v/>
      </c>
      <c r="B14" s="527"/>
      <c r="C14" s="287">
        <f t="shared" ref="C14:C78" si="12">F14+H14</f>
        <v>0</v>
      </c>
      <c r="D14" s="288">
        <f t="shared" si="4"/>
        <v>0</v>
      </c>
      <c r="E14" s="530" t="str">
        <f>IF((J14-K14)=0,"",C14/(J14-K14))</f>
        <v/>
      </c>
      <c r="F14" s="286">
        <f t="shared" si="2"/>
        <v>0</v>
      </c>
      <c r="G14" s="3"/>
      <c r="H14" s="286">
        <f t="shared" si="3"/>
        <v>0</v>
      </c>
      <c r="I14" s="3"/>
      <c r="J14" s="561"/>
      <c r="K14" s="561"/>
      <c r="L14" s="561"/>
      <c r="M14" s="71"/>
      <c r="N14" s="71"/>
      <c r="O14" s="71"/>
      <c r="P14" s="71"/>
      <c r="Q14" s="71"/>
      <c r="AI14" s="293">
        <f t="shared" ref="AI14:AI28" si="13">G14</f>
        <v>0</v>
      </c>
      <c r="AJ14" s="293">
        <f t="shared" ref="AJ14:AJ28" si="14">I14</f>
        <v>0</v>
      </c>
      <c r="AK14" s="293" t="e">
        <f>#REF!</f>
        <v>#REF!</v>
      </c>
      <c r="AL14" s="293" t="e">
        <f>#REF!</f>
        <v>#REF!</v>
      </c>
      <c r="AM14" s="293" t="e">
        <f>#REF!</f>
        <v>#REF!</v>
      </c>
      <c r="AN14" s="293">
        <f t="shared" ref="AN14:AN28" si="15">F14</f>
        <v>0</v>
      </c>
      <c r="AO14" s="293">
        <f t="shared" ref="AO14:AO28" si="16">H14</f>
        <v>0</v>
      </c>
      <c r="AP14" s="293">
        <f t="shared" ref="AP14:AP28" si="17">J14</f>
        <v>0</v>
      </c>
      <c r="AQ14" s="293">
        <f t="shared" ref="AQ14:AQ28" si="18">K14</f>
        <v>0</v>
      </c>
      <c r="AR14" s="293">
        <f t="shared" ref="AR14:AR28" si="19">L14</f>
        <v>0</v>
      </c>
      <c r="AS14" s="319"/>
    </row>
    <row r="15" spans="1:54" ht="14.25" customHeight="1" x14ac:dyDescent="0.2">
      <c r="A15" s="132" t="str">
        <f t="shared" si="0"/>
        <v/>
      </c>
      <c r="B15" s="527"/>
      <c r="C15" s="287">
        <f t="shared" si="12"/>
        <v>0</v>
      </c>
      <c r="D15" s="288">
        <f t="shared" si="4"/>
        <v>0</v>
      </c>
      <c r="E15" s="530" t="str">
        <f t="shared" ref="E15:E78" si="20">IF((J15-K15)=0,"",C15/(J15-K15))</f>
        <v/>
      </c>
      <c r="F15" s="286">
        <f t="shared" si="2"/>
        <v>0</v>
      </c>
      <c r="G15" s="3"/>
      <c r="H15" s="286">
        <f t="shared" si="3"/>
        <v>0</v>
      </c>
      <c r="I15" s="3"/>
      <c r="J15" s="561"/>
      <c r="K15" s="561"/>
      <c r="L15" s="561"/>
      <c r="M15" s="71"/>
      <c r="N15" s="71"/>
      <c r="O15" s="71"/>
      <c r="P15" s="71"/>
      <c r="Q15" s="71"/>
      <c r="AI15" s="293">
        <f t="shared" si="13"/>
        <v>0</v>
      </c>
      <c r="AJ15" s="293">
        <f t="shared" si="14"/>
        <v>0</v>
      </c>
      <c r="AK15" s="293" t="e">
        <f>#REF!</f>
        <v>#REF!</v>
      </c>
      <c r="AL15" s="293" t="e">
        <f>#REF!</f>
        <v>#REF!</v>
      </c>
      <c r="AM15" s="293" t="e">
        <f>#REF!</f>
        <v>#REF!</v>
      </c>
      <c r="AN15" s="293">
        <f t="shared" si="15"/>
        <v>0</v>
      </c>
      <c r="AO15" s="293">
        <f t="shared" si="16"/>
        <v>0</v>
      </c>
      <c r="AP15" s="293">
        <f t="shared" si="17"/>
        <v>0</v>
      </c>
      <c r="AQ15" s="293">
        <f t="shared" si="18"/>
        <v>0</v>
      </c>
      <c r="AR15" s="293">
        <f t="shared" si="19"/>
        <v>0</v>
      </c>
      <c r="AS15" s="319"/>
    </row>
    <row r="16" spans="1:54" ht="14.25" customHeight="1" x14ac:dyDescent="0.2">
      <c r="A16" s="132" t="str">
        <f t="shared" si="0"/>
        <v/>
      </c>
      <c r="B16" s="527"/>
      <c r="C16" s="287">
        <f t="shared" si="12"/>
        <v>0</v>
      </c>
      <c r="D16" s="288">
        <f t="shared" si="4"/>
        <v>0</v>
      </c>
      <c r="E16" s="530" t="str">
        <f t="shared" si="20"/>
        <v/>
      </c>
      <c r="F16" s="286">
        <f t="shared" si="2"/>
        <v>0</v>
      </c>
      <c r="G16" s="3"/>
      <c r="H16" s="286">
        <f t="shared" si="3"/>
        <v>0</v>
      </c>
      <c r="I16" s="3"/>
      <c r="J16" s="561"/>
      <c r="K16" s="561"/>
      <c r="L16" s="561"/>
      <c r="M16" s="71"/>
      <c r="N16" s="71"/>
      <c r="O16" s="71"/>
      <c r="P16" s="71"/>
      <c r="Q16" s="71"/>
      <c r="AI16" s="293">
        <f t="shared" si="13"/>
        <v>0</v>
      </c>
      <c r="AJ16" s="293">
        <f t="shared" si="14"/>
        <v>0</v>
      </c>
      <c r="AK16" s="293" t="e">
        <f>#REF!</f>
        <v>#REF!</v>
      </c>
      <c r="AL16" s="293" t="e">
        <f>#REF!</f>
        <v>#REF!</v>
      </c>
      <c r="AM16" s="293" t="e">
        <f>#REF!</f>
        <v>#REF!</v>
      </c>
      <c r="AN16" s="293">
        <f t="shared" si="15"/>
        <v>0</v>
      </c>
      <c r="AO16" s="293">
        <f t="shared" si="16"/>
        <v>0</v>
      </c>
      <c r="AP16" s="293">
        <f t="shared" si="17"/>
        <v>0</v>
      </c>
      <c r="AQ16" s="293">
        <f t="shared" si="18"/>
        <v>0</v>
      </c>
      <c r="AR16" s="293">
        <f t="shared" si="19"/>
        <v>0</v>
      </c>
      <c r="AS16" s="319"/>
    </row>
    <row r="17" spans="1:45" ht="14.25" customHeight="1" x14ac:dyDescent="0.2">
      <c r="A17" s="132" t="str">
        <f t="shared" si="0"/>
        <v/>
      </c>
      <c r="B17" s="527"/>
      <c r="C17" s="287">
        <f t="shared" si="12"/>
        <v>0</v>
      </c>
      <c r="D17" s="288">
        <f t="shared" si="4"/>
        <v>0</v>
      </c>
      <c r="E17" s="530" t="str">
        <f t="shared" si="20"/>
        <v/>
      </c>
      <c r="F17" s="286">
        <f t="shared" si="2"/>
        <v>0</v>
      </c>
      <c r="G17" s="3"/>
      <c r="H17" s="286">
        <f t="shared" si="3"/>
        <v>0</v>
      </c>
      <c r="I17" s="3"/>
      <c r="J17" s="561"/>
      <c r="K17" s="561"/>
      <c r="L17" s="561"/>
      <c r="M17" s="71"/>
      <c r="N17" s="71"/>
      <c r="O17" s="71"/>
      <c r="P17" s="71"/>
      <c r="Q17" s="71"/>
      <c r="AI17" s="293">
        <f t="shared" si="13"/>
        <v>0</v>
      </c>
      <c r="AJ17" s="293">
        <f t="shared" si="14"/>
        <v>0</v>
      </c>
      <c r="AK17" s="293" t="e">
        <f>#REF!</f>
        <v>#REF!</v>
      </c>
      <c r="AL17" s="293" t="e">
        <f>#REF!</f>
        <v>#REF!</v>
      </c>
      <c r="AM17" s="293" t="e">
        <f>#REF!</f>
        <v>#REF!</v>
      </c>
      <c r="AN17" s="293">
        <f t="shared" si="15"/>
        <v>0</v>
      </c>
      <c r="AO17" s="293">
        <f t="shared" si="16"/>
        <v>0</v>
      </c>
      <c r="AP17" s="293">
        <f t="shared" si="17"/>
        <v>0</v>
      </c>
      <c r="AQ17" s="293">
        <f t="shared" si="18"/>
        <v>0</v>
      </c>
      <c r="AR17" s="293">
        <f t="shared" si="19"/>
        <v>0</v>
      </c>
      <c r="AS17" s="319"/>
    </row>
    <row r="18" spans="1:45" ht="14.25" customHeight="1" x14ac:dyDescent="0.2">
      <c r="A18" s="132" t="str">
        <f t="shared" si="0"/>
        <v/>
      </c>
      <c r="B18" s="527"/>
      <c r="C18" s="287">
        <f t="shared" si="12"/>
        <v>0</v>
      </c>
      <c r="D18" s="288">
        <f t="shared" si="4"/>
        <v>0</v>
      </c>
      <c r="E18" s="530" t="str">
        <f t="shared" si="20"/>
        <v/>
      </c>
      <c r="F18" s="286">
        <f t="shared" si="2"/>
        <v>0</v>
      </c>
      <c r="G18" s="3"/>
      <c r="H18" s="286">
        <f t="shared" si="3"/>
        <v>0</v>
      </c>
      <c r="I18" s="3"/>
      <c r="J18" s="561"/>
      <c r="K18" s="561"/>
      <c r="L18" s="561"/>
      <c r="M18" s="71"/>
      <c r="N18" s="71"/>
      <c r="O18" s="71"/>
      <c r="P18" s="71"/>
      <c r="Q18" s="71"/>
      <c r="AI18" s="293">
        <f t="shared" si="13"/>
        <v>0</v>
      </c>
      <c r="AJ18" s="293">
        <f t="shared" si="14"/>
        <v>0</v>
      </c>
      <c r="AK18" s="293" t="e">
        <f>#REF!</f>
        <v>#REF!</v>
      </c>
      <c r="AL18" s="293" t="e">
        <f>#REF!</f>
        <v>#REF!</v>
      </c>
      <c r="AM18" s="293" t="e">
        <f>#REF!</f>
        <v>#REF!</v>
      </c>
      <c r="AN18" s="293">
        <f t="shared" si="15"/>
        <v>0</v>
      </c>
      <c r="AO18" s="293">
        <f t="shared" si="16"/>
        <v>0</v>
      </c>
      <c r="AP18" s="293">
        <f t="shared" si="17"/>
        <v>0</v>
      </c>
      <c r="AQ18" s="293">
        <f t="shared" si="18"/>
        <v>0</v>
      </c>
      <c r="AR18" s="293">
        <f t="shared" si="19"/>
        <v>0</v>
      </c>
      <c r="AS18" s="319"/>
    </row>
    <row r="19" spans="1:45" ht="14.25" customHeight="1" x14ac:dyDescent="0.2">
      <c r="A19" s="132" t="str">
        <f t="shared" si="0"/>
        <v/>
      </c>
      <c r="B19" s="527"/>
      <c r="C19" s="287">
        <f t="shared" si="12"/>
        <v>0</v>
      </c>
      <c r="D19" s="288">
        <f t="shared" si="4"/>
        <v>0</v>
      </c>
      <c r="E19" s="530" t="str">
        <f t="shared" si="20"/>
        <v/>
      </c>
      <c r="F19" s="286">
        <f t="shared" si="2"/>
        <v>0</v>
      </c>
      <c r="G19" s="3"/>
      <c r="H19" s="286">
        <f t="shared" si="3"/>
        <v>0</v>
      </c>
      <c r="I19" s="3"/>
      <c r="J19" s="561"/>
      <c r="K19" s="561"/>
      <c r="L19" s="561"/>
      <c r="M19" s="71"/>
      <c r="N19" s="71"/>
      <c r="O19" s="71"/>
      <c r="P19" s="71"/>
      <c r="Q19" s="71"/>
      <c r="AI19" s="293">
        <f t="shared" si="13"/>
        <v>0</v>
      </c>
      <c r="AJ19" s="293">
        <f t="shared" si="14"/>
        <v>0</v>
      </c>
      <c r="AK19" s="293" t="e">
        <f>#REF!</f>
        <v>#REF!</v>
      </c>
      <c r="AL19" s="293" t="e">
        <f>#REF!</f>
        <v>#REF!</v>
      </c>
      <c r="AM19" s="293" t="e">
        <f>#REF!</f>
        <v>#REF!</v>
      </c>
      <c r="AN19" s="293">
        <f t="shared" si="15"/>
        <v>0</v>
      </c>
      <c r="AO19" s="293">
        <f t="shared" si="16"/>
        <v>0</v>
      </c>
      <c r="AP19" s="293">
        <f t="shared" si="17"/>
        <v>0</v>
      </c>
      <c r="AQ19" s="293">
        <f t="shared" si="18"/>
        <v>0</v>
      </c>
      <c r="AR19" s="293">
        <f t="shared" si="19"/>
        <v>0</v>
      </c>
      <c r="AS19" s="319"/>
    </row>
    <row r="20" spans="1:45" ht="14.25" customHeight="1" x14ac:dyDescent="0.2">
      <c r="A20" s="132" t="str">
        <f t="shared" si="0"/>
        <v/>
      </c>
      <c r="B20" s="527"/>
      <c r="C20" s="287">
        <f t="shared" si="12"/>
        <v>0</v>
      </c>
      <c r="D20" s="288">
        <f t="shared" si="4"/>
        <v>0</v>
      </c>
      <c r="E20" s="530" t="str">
        <f t="shared" si="20"/>
        <v/>
      </c>
      <c r="F20" s="286">
        <f t="shared" si="2"/>
        <v>0</v>
      </c>
      <c r="G20" s="3"/>
      <c r="H20" s="286">
        <f t="shared" si="3"/>
        <v>0</v>
      </c>
      <c r="I20" s="3"/>
      <c r="J20" s="561"/>
      <c r="K20" s="561"/>
      <c r="L20" s="561"/>
      <c r="M20" s="71"/>
      <c r="N20" s="71"/>
      <c r="O20" s="71"/>
      <c r="P20" s="71"/>
      <c r="Q20" s="71"/>
      <c r="AI20" s="293">
        <f t="shared" si="13"/>
        <v>0</v>
      </c>
      <c r="AJ20" s="293">
        <f t="shared" si="14"/>
        <v>0</v>
      </c>
      <c r="AK20" s="293" t="e">
        <f>#REF!</f>
        <v>#REF!</v>
      </c>
      <c r="AL20" s="293" t="e">
        <f>#REF!</f>
        <v>#REF!</v>
      </c>
      <c r="AM20" s="293" t="e">
        <f>#REF!</f>
        <v>#REF!</v>
      </c>
      <c r="AN20" s="293">
        <f t="shared" si="15"/>
        <v>0</v>
      </c>
      <c r="AO20" s="293">
        <f t="shared" si="16"/>
        <v>0</v>
      </c>
      <c r="AP20" s="293">
        <f t="shared" si="17"/>
        <v>0</v>
      </c>
      <c r="AQ20" s="293">
        <f t="shared" si="18"/>
        <v>0</v>
      </c>
      <c r="AR20" s="293">
        <f t="shared" si="19"/>
        <v>0</v>
      </c>
      <c r="AS20" s="319"/>
    </row>
    <row r="21" spans="1:45" ht="14.25" customHeight="1" x14ac:dyDescent="0.2">
      <c r="A21" s="132" t="str">
        <f t="shared" si="0"/>
        <v/>
      </c>
      <c r="B21" s="527"/>
      <c r="C21" s="287">
        <f t="shared" si="12"/>
        <v>0</v>
      </c>
      <c r="D21" s="288">
        <f t="shared" si="4"/>
        <v>0</v>
      </c>
      <c r="E21" s="530" t="str">
        <f t="shared" si="20"/>
        <v/>
      </c>
      <c r="F21" s="286">
        <f t="shared" si="2"/>
        <v>0</v>
      </c>
      <c r="G21" s="3"/>
      <c r="H21" s="286">
        <f t="shared" si="3"/>
        <v>0</v>
      </c>
      <c r="I21" s="3"/>
      <c r="J21" s="561"/>
      <c r="K21" s="561"/>
      <c r="L21" s="561"/>
      <c r="M21" s="71"/>
      <c r="N21" s="71"/>
      <c r="O21" s="71"/>
      <c r="P21" s="71"/>
      <c r="Q21" s="71"/>
      <c r="AI21" s="293">
        <f t="shared" si="13"/>
        <v>0</v>
      </c>
      <c r="AJ21" s="293">
        <f t="shared" si="14"/>
        <v>0</v>
      </c>
      <c r="AK21" s="293" t="e">
        <f>#REF!</f>
        <v>#REF!</v>
      </c>
      <c r="AL21" s="293" t="e">
        <f>#REF!</f>
        <v>#REF!</v>
      </c>
      <c r="AM21" s="293" t="e">
        <f>#REF!</f>
        <v>#REF!</v>
      </c>
      <c r="AN21" s="293">
        <f t="shared" si="15"/>
        <v>0</v>
      </c>
      <c r="AO21" s="293">
        <f t="shared" si="16"/>
        <v>0</v>
      </c>
      <c r="AP21" s="293">
        <f t="shared" si="17"/>
        <v>0</v>
      </c>
      <c r="AQ21" s="293">
        <f t="shared" si="18"/>
        <v>0</v>
      </c>
      <c r="AR21" s="293">
        <f t="shared" si="19"/>
        <v>0</v>
      </c>
      <c r="AS21" s="319"/>
    </row>
    <row r="22" spans="1:45" ht="14.25" customHeight="1" x14ac:dyDescent="0.2">
      <c r="A22" s="132" t="str">
        <f t="shared" si="0"/>
        <v/>
      </c>
      <c r="B22" s="527"/>
      <c r="C22" s="287">
        <f t="shared" si="12"/>
        <v>0</v>
      </c>
      <c r="D22" s="288">
        <f t="shared" si="4"/>
        <v>0</v>
      </c>
      <c r="E22" s="530" t="str">
        <f t="shared" si="20"/>
        <v/>
      </c>
      <c r="F22" s="286">
        <f t="shared" si="2"/>
        <v>0</v>
      </c>
      <c r="G22" s="3"/>
      <c r="H22" s="286">
        <f t="shared" si="3"/>
        <v>0</v>
      </c>
      <c r="I22" s="3"/>
      <c r="J22" s="561"/>
      <c r="K22" s="561"/>
      <c r="L22" s="561"/>
      <c r="M22" s="71"/>
      <c r="N22" s="71"/>
      <c r="O22" s="71"/>
      <c r="P22" s="71"/>
      <c r="Q22" s="71"/>
      <c r="AI22" s="293">
        <f t="shared" si="13"/>
        <v>0</v>
      </c>
      <c r="AJ22" s="293">
        <f t="shared" si="14"/>
        <v>0</v>
      </c>
      <c r="AK22" s="293" t="e">
        <f>#REF!</f>
        <v>#REF!</v>
      </c>
      <c r="AL22" s="293" t="e">
        <f>#REF!</f>
        <v>#REF!</v>
      </c>
      <c r="AM22" s="293" t="e">
        <f>#REF!</f>
        <v>#REF!</v>
      </c>
      <c r="AN22" s="293">
        <f t="shared" si="15"/>
        <v>0</v>
      </c>
      <c r="AO22" s="293">
        <f t="shared" si="16"/>
        <v>0</v>
      </c>
      <c r="AP22" s="293">
        <f t="shared" si="17"/>
        <v>0</v>
      </c>
      <c r="AQ22" s="293">
        <f t="shared" si="18"/>
        <v>0</v>
      </c>
      <c r="AR22" s="293">
        <f t="shared" si="19"/>
        <v>0</v>
      </c>
      <c r="AS22" s="319"/>
    </row>
    <row r="23" spans="1:45" ht="14.25" customHeight="1" x14ac:dyDescent="0.2">
      <c r="A23" s="132" t="str">
        <f t="shared" si="0"/>
        <v/>
      </c>
      <c r="B23" s="527"/>
      <c r="C23" s="287">
        <f t="shared" si="12"/>
        <v>0</v>
      </c>
      <c r="D23" s="288">
        <f t="shared" si="4"/>
        <v>0</v>
      </c>
      <c r="E23" s="530" t="str">
        <f t="shared" si="20"/>
        <v/>
      </c>
      <c r="F23" s="286">
        <f t="shared" si="2"/>
        <v>0</v>
      </c>
      <c r="G23" s="3"/>
      <c r="H23" s="286">
        <f t="shared" si="3"/>
        <v>0</v>
      </c>
      <c r="I23" s="3"/>
      <c r="J23" s="561"/>
      <c r="K23" s="561"/>
      <c r="L23" s="561"/>
      <c r="M23" s="71"/>
      <c r="N23" s="71"/>
      <c r="O23" s="71"/>
      <c r="P23" s="71"/>
      <c r="Q23" s="71"/>
      <c r="AI23" s="293">
        <f t="shared" si="13"/>
        <v>0</v>
      </c>
      <c r="AJ23" s="293">
        <f t="shared" si="14"/>
        <v>0</v>
      </c>
      <c r="AK23" s="293" t="e">
        <f>#REF!</f>
        <v>#REF!</v>
      </c>
      <c r="AL23" s="293" t="e">
        <f>#REF!</f>
        <v>#REF!</v>
      </c>
      <c r="AM23" s="293" t="e">
        <f>#REF!</f>
        <v>#REF!</v>
      </c>
      <c r="AN23" s="293">
        <f t="shared" si="15"/>
        <v>0</v>
      </c>
      <c r="AO23" s="293">
        <f t="shared" si="16"/>
        <v>0</v>
      </c>
      <c r="AP23" s="293">
        <f t="shared" si="17"/>
        <v>0</v>
      </c>
      <c r="AQ23" s="293">
        <f t="shared" si="18"/>
        <v>0</v>
      </c>
      <c r="AR23" s="293">
        <f t="shared" si="19"/>
        <v>0</v>
      </c>
      <c r="AS23" s="319"/>
    </row>
    <row r="24" spans="1:45" ht="14.25" customHeight="1" x14ac:dyDescent="0.2">
      <c r="A24" s="132" t="str">
        <f t="shared" si="0"/>
        <v/>
      </c>
      <c r="B24" s="527"/>
      <c r="C24" s="287">
        <f t="shared" si="12"/>
        <v>0</v>
      </c>
      <c r="D24" s="288">
        <f t="shared" si="4"/>
        <v>0</v>
      </c>
      <c r="E24" s="530" t="str">
        <f t="shared" si="20"/>
        <v/>
      </c>
      <c r="F24" s="286">
        <f t="shared" si="2"/>
        <v>0</v>
      </c>
      <c r="G24" s="3"/>
      <c r="H24" s="286">
        <f t="shared" si="3"/>
        <v>0</v>
      </c>
      <c r="I24" s="3"/>
      <c r="J24" s="561"/>
      <c r="K24" s="561"/>
      <c r="L24" s="561"/>
      <c r="M24" s="71"/>
      <c r="N24" s="71"/>
      <c r="O24" s="71"/>
      <c r="P24" s="71"/>
      <c r="Q24" s="71"/>
      <c r="AI24" s="293">
        <f t="shared" si="13"/>
        <v>0</v>
      </c>
      <c r="AJ24" s="293">
        <f t="shared" si="14"/>
        <v>0</v>
      </c>
      <c r="AK24" s="293" t="e">
        <f>#REF!</f>
        <v>#REF!</v>
      </c>
      <c r="AL24" s="293" t="e">
        <f>#REF!</f>
        <v>#REF!</v>
      </c>
      <c r="AM24" s="293" t="e">
        <f>#REF!</f>
        <v>#REF!</v>
      </c>
      <c r="AN24" s="293">
        <f t="shared" si="15"/>
        <v>0</v>
      </c>
      <c r="AO24" s="293">
        <f t="shared" si="16"/>
        <v>0</v>
      </c>
      <c r="AP24" s="293">
        <f t="shared" si="17"/>
        <v>0</v>
      </c>
      <c r="AQ24" s="293">
        <f t="shared" si="18"/>
        <v>0</v>
      </c>
      <c r="AR24" s="293">
        <f t="shared" si="19"/>
        <v>0</v>
      </c>
      <c r="AS24" s="319"/>
    </row>
    <row r="25" spans="1:45" ht="14.25" customHeight="1" x14ac:dyDescent="0.2">
      <c r="A25" s="132" t="str">
        <f t="shared" si="0"/>
        <v/>
      </c>
      <c r="B25" s="527"/>
      <c r="C25" s="287">
        <f t="shared" si="12"/>
        <v>0</v>
      </c>
      <c r="D25" s="288">
        <f t="shared" si="4"/>
        <v>0</v>
      </c>
      <c r="E25" s="530" t="str">
        <f t="shared" si="20"/>
        <v/>
      </c>
      <c r="F25" s="286">
        <f t="shared" si="2"/>
        <v>0</v>
      </c>
      <c r="G25" s="3"/>
      <c r="H25" s="286">
        <f t="shared" si="3"/>
        <v>0</v>
      </c>
      <c r="I25" s="3"/>
      <c r="J25" s="561"/>
      <c r="K25" s="561"/>
      <c r="L25" s="561"/>
      <c r="M25" s="71"/>
      <c r="N25" s="71"/>
      <c r="O25" s="71"/>
      <c r="P25" s="71"/>
      <c r="Q25" s="71"/>
      <c r="AI25" s="293">
        <f t="shared" si="13"/>
        <v>0</v>
      </c>
      <c r="AJ25" s="293">
        <f t="shared" si="14"/>
        <v>0</v>
      </c>
      <c r="AK25" s="293" t="e">
        <f>#REF!</f>
        <v>#REF!</v>
      </c>
      <c r="AL25" s="293" t="e">
        <f>#REF!</f>
        <v>#REF!</v>
      </c>
      <c r="AM25" s="293" t="e">
        <f>#REF!</f>
        <v>#REF!</v>
      </c>
      <c r="AN25" s="293">
        <f t="shared" si="15"/>
        <v>0</v>
      </c>
      <c r="AO25" s="293">
        <f t="shared" si="16"/>
        <v>0</v>
      </c>
      <c r="AP25" s="293">
        <f t="shared" si="17"/>
        <v>0</v>
      </c>
      <c r="AQ25" s="293">
        <f t="shared" si="18"/>
        <v>0</v>
      </c>
      <c r="AR25" s="293">
        <f t="shared" si="19"/>
        <v>0</v>
      </c>
      <c r="AS25" s="319"/>
    </row>
    <row r="26" spans="1:45" ht="14.25" customHeight="1" x14ac:dyDescent="0.2">
      <c r="A26" s="132" t="str">
        <f t="shared" si="0"/>
        <v/>
      </c>
      <c r="B26" s="527"/>
      <c r="C26" s="287">
        <f t="shared" si="12"/>
        <v>0</v>
      </c>
      <c r="D26" s="288">
        <f t="shared" si="4"/>
        <v>0</v>
      </c>
      <c r="E26" s="530" t="str">
        <f t="shared" si="20"/>
        <v/>
      </c>
      <c r="F26" s="286">
        <f t="shared" si="2"/>
        <v>0</v>
      </c>
      <c r="G26" s="3"/>
      <c r="H26" s="286">
        <f t="shared" si="3"/>
        <v>0</v>
      </c>
      <c r="I26" s="3"/>
      <c r="J26" s="561"/>
      <c r="K26" s="561"/>
      <c r="L26" s="561"/>
      <c r="M26" s="71"/>
      <c r="N26" s="71"/>
      <c r="O26" s="71"/>
      <c r="P26" s="71"/>
      <c r="Q26" s="71"/>
      <c r="AI26" s="293">
        <f t="shared" si="13"/>
        <v>0</v>
      </c>
      <c r="AJ26" s="293">
        <f t="shared" si="14"/>
        <v>0</v>
      </c>
      <c r="AK26" s="293" t="e">
        <f>#REF!</f>
        <v>#REF!</v>
      </c>
      <c r="AL26" s="293" t="e">
        <f>#REF!</f>
        <v>#REF!</v>
      </c>
      <c r="AM26" s="293" t="e">
        <f>#REF!</f>
        <v>#REF!</v>
      </c>
      <c r="AN26" s="293">
        <f t="shared" si="15"/>
        <v>0</v>
      </c>
      <c r="AO26" s="293">
        <f t="shared" si="16"/>
        <v>0</v>
      </c>
      <c r="AP26" s="293">
        <f t="shared" si="17"/>
        <v>0</v>
      </c>
      <c r="AQ26" s="293">
        <f t="shared" si="18"/>
        <v>0</v>
      </c>
      <c r="AR26" s="293">
        <f t="shared" si="19"/>
        <v>0</v>
      </c>
      <c r="AS26" s="319"/>
    </row>
    <row r="27" spans="1:45" ht="14.25" customHeight="1" x14ac:dyDescent="0.2">
      <c r="A27" s="132" t="str">
        <f t="shared" si="0"/>
        <v/>
      </c>
      <c r="B27" s="527"/>
      <c r="C27" s="287">
        <f t="shared" si="12"/>
        <v>0</v>
      </c>
      <c r="D27" s="288">
        <f t="shared" si="4"/>
        <v>0</v>
      </c>
      <c r="E27" s="530" t="str">
        <f t="shared" si="20"/>
        <v/>
      </c>
      <c r="F27" s="286">
        <f t="shared" si="2"/>
        <v>0</v>
      </c>
      <c r="G27" s="3"/>
      <c r="H27" s="286">
        <f t="shared" si="3"/>
        <v>0</v>
      </c>
      <c r="I27" s="3"/>
      <c r="J27" s="561"/>
      <c r="K27" s="561"/>
      <c r="L27" s="561"/>
      <c r="M27" s="71"/>
      <c r="N27" s="71"/>
      <c r="O27" s="71"/>
      <c r="P27" s="71"/>
      <c r="Q27" s="71"/>
      <c r="AI27" s="293">
        <f t="shared" si="13"/>
        <v>0</v>
      </c>
      <c r="AJ27" s="293">
        <f t="shared" si="14"/>
        <v>0</v>
      </c>
      <c r="AK27" s="293" t="e">
        <f>#REF!</f>
        <v>#REF!</v>
      </c>
      <c r="AL27" s="293" t="e">
        <f>#REF!</f>
        <v>#REF!</v>
      </c>
      <c r="AM27" s="293" t="e">
        <f>#REF!</f>
        <v>#REF!</v>
      </c>
      <c r="AN27" s="293">
        <f t="shared" si="15"/>
        <v>0</v>
      </c>
      <c r="AO27" s="293">
        <f t="shared" si="16"/>
        <v>0</v>
      </c>
      <c r="AP27" s="293">
        <f t="shared" si="17"/>
        <v>0</v>
      </c>
      <c r="AQ27" s="293">
        <f t="shared" si="18"/>
        <v>0</v>
      </c>
      <c r="AR27" s="293">
        <f t="shared" si="19"/>
        <v>0</v>
      </c>
      <c r="AS27" s="319"/>
    </row>
    <row r="28" spans="1:45" ht="14.25" customHeight="1" x14ac:dyDescent="0.2">
      <c r="A28" s="132" t="str">
        <f t="shared" si="0"/>
        <v/>
      </c>
      <c r="B28" s="527"/>
      <c r="C28" s="287">
        <f t="shared" si="12"/>
        <v>0</v>
      </c>
      <c r="D28" s="288">
        <f t="shared" si="4"/>
        <v>0</v>
      </c>
      <c r="E28" s="530" t="str">
        <f t="shared" si="20"/>
        <v/>
      </c>
      <c r="F28" s="286">
        <f t="shared" si="2"/>
        <v>0</v>
      </c>
      <c r="G28" s="3"/>
      <c r="H28" s="286">
        <f t="shared" si="3"/>
        <v>0</v>
      </c>
      <c r="I28" s="3"/>
      <c r="J28" s="561"/>
      <c r="K28" s="561"/>
      <c r="L28" s="561"/>
      <c r="M28" s="71"/>
      <c r="N28" s="71"/>
      <c r="O28" s="71"/>
      <c r="P28" s="71"/>
      <c r="Q28" s="71"/>
      <c r="AI28" s="293">
        <f t="shared" si="13"/>
        <v>0</v>
      </c>
      <c r="AJ28" s="293">
        <f t="shared" si="14"/>
        <v>0</v>
      </c>
      <c r="AK28" s="293" t="e">
        <f>#REF!</f>
        <v>#REF!</v>
      </c>
      <c r="AL28" s="293" t="e">
        <f>#REF!</f>
        <v>#REF!</v>
      </c>
      <c r="AM28" s="293" t="e">
        <f>#REF!</f>
        <v>#REF!</v>
      </c>
      <c r="AN28" s="293">
        <f t="shared" si="15"/>
        <v>0</v>
      </c>
      <c r="AO28" s="293">
        <f t="shared" si="16"/>
        <v>0</v>
      </c>
      <c r="AP28" s="293">
        <f t="shared" si="17"/>
        <v>0</v>
      </c>
      <c r="AQ28" s="293">
        <f t="shared" si="18"/>
        <v>0</v>
      </c>
      <c r="AR28" s="293">
        <f t="shared" si="19"/>
        <v>0</v>
      </c>
      <c r="AS28" s="319"/>
    </row>
    <row r="29" spans="1:45" ht="14.25" customHeight="1" x14ac:dyDescent="0.2">
      <c r="A29" s="132" t="str">
        <f t="shared" si="0"/>
        <v/>
      </c>
      <c r="B29" s="527"/>
      <c r="C29" s="287">
        <f t="shared" si="12"/>
        <v>0</v>
      </c>
      <c r="D29" s="288">
        <f t="shared" si="4"/>
        <v>0</v>
      </c>
      <c r="E29" s="530" t="str">
        <f t="shared" si="20"/>
        <v/>
      </c>
      <c r="F29" s="286">
        <f t="shared" si="2"/>
        <v>0</v>
      </c>
      <c r="G29" s="3"/>
      <c r="H29" s="286">
        <f t="shared" si="3"/>
        <v>0</v>
      </c>
      <c r="I29" s="3"/>
      <c r="J29" s="561"/>
      <c r="K29" s="561"/>
      <c r="L29" s="561"/>
      <c r="M29" s="71"/>
      <c r="N29" s="71"/>
      <c r="O29" s="71"/>
      <c r="P29" s="71"/>
      <c r="Q29" s="71"/>
      <c r="AI29" s="293">
        <f t="shared" si="5"/>
        <v>0</v>
      </c>
      <c r="AJ29" s="293">
        <f t="shared" si="6"/>
        <v>0</v>
      </c>
      <c r="AK29" s="293" t="e">
        <f>#REF!</f>
        <v>#REF!</v>
      </c>
      <c r="AL29" s="293" t="e">
        <f>#REF!</f>
        <v>#REF!</v>
      </c>
      <c r="AM29" s="293" t="e">
        <f>#REF!</f>
        <v>#REF!</v>
      </c>
      <c r="AN29" s="293">
        <f t="shared" si="7"/>
        <v>0</v>
      </c>
      <c r="AO29" s="293">
        <f t="shared" si="8"/>
        <v>0</v>
      </c>
      <c r="AP29" s="293">
        <f t="shared" si="9"/>
        <v>0</v>
      </c>
      <c r="AQ29" s="293">
        <f t="shared" si="10"/>
        <v>0</v>
      </c>
      <c r="AR29" s="293">
        <f t="shared" si="11"/>
        <v>0</v>
      </c>
      <c r="AS29" s="319"/>
    </row>
    <row r="30" spans="1:45" ht="14.25" customHeight="1" x14ac:dyDescent="0.2">
      <c r="A30" s="132" t="str">
        <f t="shared" si="0"/>
        <v/>
      </c>
      <c r="B30" s="527"/>
      <c r="C30" s="287">
        <f t="shared" si="12"/>
        <v>0</v>
      </c>
      <c r="D30" s="288">
        <f t="shared" si="4"/>
        <v>0</v>
      </c>
      <c r="E30" s="530" t="str">
        <f t="shared" si="20"/>
        <v/>
      </c>
      <c r="F30" s="286">
        <f t="shared" si="2"/>
        <v>0</v>
      </c>
      <c r="G30" s="3"/>
      <c r="H30" s="286">
        <f t="shared" si="3"/>
        <v>0</v>
      </c>
      <c r="I30" s="3"/>
      <c r="J30" s="561"/>
      <c r="K30" s="561"/>
      <c r="L30" s="561"/>
      <c r="M30" s="71"/>
      <c r="N30" s="71"/>
      <c r="O30" s="71"/>
      <c r="P30" s="71"/>
      <c r="Q30" s="71"/>
      <c r="AI30" s="293">
        <f t="shared" si="5"/>
        <v>0</v>
      </c>
      <c r="AJ30" s="293">
        <f t="shared" si="6"/>
        <v>0</v>
      </c>
      <c r="AK30" s="293" t="e">
        <f>#REF!</f>
        <v>#REF!</v>
      </c>
      <c r="AL30" s="293" t="e">
        <f>#REF!</f>
        <v>#REF!</v>
      </c>
      <c r="AM30" s="293" t="e">
        <f>#REF!</f>
        <v>#REF!</v>
      </c>
      <c r="AN30" s="293">
        <f t="shared" si="7"/>
        <v>0</v>
      </c>
      <c r="AO30" s="293">
        <f t="shared" si="8"/>
        <v>0</v>
      </c>
      <c r="AP30" s="293">
        <f t="shared" si="9"/>
        <v>0</v>
      </c>
      <c r="AQ30" s="293">
        <f t="shared" si="10"/>
        <v>0</v>
      </c>
      <c r="AR30" s="293">
        <f t="shared" si="11"/>
        <v>0</v>
      </c>
      <c r="AS30" s="319"/>
    </row>
    <row r="31" spans="1:45" ht="14.25" customHeight="1" x14ac:dyDescent="0.2">
      <c r="A31" s="132" t="str">
        <f t="shared" si="0"/>
        <v/>
      </c>
      <c r="B31" s="527"/>
      <c r="C31" s="287">
        <f t="shared" si="12"/>
        <v>0</v>
      </c>
      <c r="D31" s="288">
        <f t="shared" si="4"/>
        <v>0</v>
      </c>
      <c r="E31" s="530" t="str">
        <f t="shared" si="20"/>
        <v/>
      </c>
      <c r="F31" s="286">
        <f t="shared" si="2"/>
        <v>0</v>
      </c>
      <c r="G31" s="3"/>
      <c r="H31" s="286">
        <f t="shared" si="3"/>
        <v>0</v>
      </c>
      <c r="I31" s="3"/>
      <c r="J31" s="561"/>
      <c r="K31" s="561"/>
      <c r="L31" s="561"/>
      <c r="M31" s="71"/>
      <c r="N31" s="71"/>
      <c r="O31" s="71"/>
      <c r="P31" s="71"/>
      <c r="Q31" s="71"/>
      <c r="AI31" s="293">
        <f t="shared" si="5"/>
        <v>0</v>
      </c>
      <c r="AJ31" s="293">
        <f t="shared" si="6"/>
        <v>0</v>
      </c>
      <c r="AK31" s="293" t="e">
        <f>#REF!</f>
        <v>#REF!</v>
      </c>
      <c r="AL31" s="293" t="e">
        <f>#REF!</f>
        <v>#REF!</v>
      </c>
      <c r="AM31" s="293" t="e">
        <f>#REF!</f>
        <v>#REF!</v>
      </c>
      <c r="AN31" s="293">
        <f t="shared" si="7"/>
        <v>0</v>
      </c>
      <c r="AO31" s="293">
        <f t="shared" si="8"/>
        <v>0</v>
      </c>
      <c r="AP31" s="293">
        <f t="shared" si="9"/>
        <v>0</v>
      </c>
      <c r="AQ31" s="293">
        <f t="shared" si="10"/>
        <v>0</v>
      </c>
      <c r="AR31" s="293">
        <f t="shared" si="11"/>
        <v>0</v>
      </c>
      <c r="AS31" s="319"/>
    </row>
    <row r="32" spans="1:45" ht="14.25" customHeight="1" x14ac:dyDescent="0.2">
      <c r="A32" s="132" t="str">
        <f t="shared" si="0"/>
        <v/>
      </c>
      <c r="B32" s="527"/>
      <c r="C32" s="287">
        <f t="shared" si="12"/>
        <v>0</v>
      </c>
      <c r="D32" s="288">
        <f t="shared" si="4"/>
        <v>0</v>
      </c>
      <c r="E32" s="530" t="str">
        <f t="shared" si="20"/>
        <v/>
      </c>
      <c r="F32" s="286">
        <f t="shared" si="2"/>
        <v>0</v>
      </c>
      <c r="G32" s="3"/>
      <c r="H32" s="286">
        <f t="shared" si="3"/>
        <v>0</v>
      </c>
      <c r="I32" s="3"/>
      <c r="J32" s="561"/>
      <c r="K32" s="561"/>
      <c r="L32" s="561"/>
      <c r="M32" s="71"/>
      <c r="N32" s="71"/>
      <c r="O32" s="71"/>
      <c r="P32" s="71"/>
      <c r="Q32" s="71"/>
      <c r="AI32" s="293">
        <f t="shared" si="5"/>
        <v>0</v>
      </c>
      <c r="AJ32" s="293">
        <f t="shared" si="6"/>
        <v>0</v>
      </c>
      <c r="AK32" s="293" t="e">
        <f>#REF!</f>
        <v>#REF!</v>
      </c>
      <c r="AL32" s="293" t="e">
        <f>#REF!</f>
        <v>#REF!</v>
      </c>
      <c r="AM32" s="293" t="e">
        <f>#REF!</f>
        <v>#REF!</v>
      </c>
      <c r="AN32" s="293">
        <f t="shared" si="7"/>
        <v>0</v>
      </c>
      <c r="AO32" s="293">
        <f t="shared" si="8"/>
        <v>0</v>
      </c>
      <c r="AP32" s="293">
        <f t="shared" si="9"/>
        <v>0</v>
      </c>
      <c r="AQ32" s="293">
        <f t="shared" si="10"/>
        <v>0</v>
      </c>
      <c r="AR32" s="293">
        <f t="shared" si="11"/>
        <v>0</v>
      </c>
      <c r="AS32" s="319"/>
    </row>
    <row r="33" spans="1:45" ht="14.25" customHeight="1" x14ac:dyDescent="0.2">
      <c r="A33" s="132" t="str">
        <f t="shared" si="0"/>
        <v/>
      </c>
      <c r="B33" s="527"/>
      <c r="C33" s="287">
        <f t="shared" si="12"/>
        <v>0</v>
      </c>
      <c r="D33" s="288">
        <f t="shared" si="4"/>
        <v>0</v>
      </c>
      <c r="E33" s="530" t="str">
        <f t="shared" si="20"/>
        <v/>
      </c>
      <c r="F33" s="286">
        <f t="shared" si="2"/>
        <v>0</v>
      </c>
      <c r="G33" s="3"/>
      <c r="H33" s="286">
        <f t="shared" si="3"/>
        <v>0</v>
      </c>
      <c r="I33" s="3"/>
      <c r="J33" s="561"/>
      <c r="K33" s="561"/>
      <c r="L33" s="561"/>
      <c r="M33" s="71"/>
      <c r="N33" s="71"/>
      <c r="O33" s="71"/>
      <c r="P33" s="71"/>
      <c r="Q33" s="71"/>
      <c r="AI33" s="293">
        <f t="shared" si="5"/>
        <v>0</v>
      </c>
      <c r="AJ33" s="293">
        <f t="shared" si="6"/>
        <v>0</v>
      </c>
      <c r="AK33" s="293" t="e">
        <f>#REF!</f>
        <v>#REF!</v>
      </c>
      <c r="AL33" s="293" t="e">
        <f>#REF!</f>
        <v>#REF!</v>
      </c>
      <c r="AM33" s="293" t="e">
        <f>#REF!</f>
        <v>#REF!</v>
      </c>
      <c r="AN33" s="293">
        <f t="shared" si="7"/>
        <v>0</v>
      </c>
      <c r="AO33" s="293">
        <f t="shared" si="8"/>
        <v>0</v>
      </c>
      <c r="AP33" s="293">
        <f t="shared" si="9"/>
        <v>0</v>
      </c>
      <c r="AQ33" s="293">
        <f t="shared" si="10"/>
        <v>0</v>
      </c>
      <c r="AR33" s="293">
        <f t="shared" si="11"/>
        <v>0</v>
      </c>
      <c r="AS33" s="319"/>
    </row>
    <row r="34" spans="1:45" ht="14.25" customHeight="1" x14ac:dyDescent="0.2">
      <c r="A34" s="132" t="str">
        <f t="shared" si="0"/>
        <v/>
      </c>
      <c r="B34" s="527"/>
      <c r="C34" s="287">
        <f t="shared" si="12"/>
        <v>0</v>
      </c>
      <c r="D34" s="288">
        <f t="shared" si="4"/>
        <v>0</v>
      </c>
      <c r="E34" s="530" t="str">
        <f t="shared" si="20"/>
        <v/>
      </c>
      <c r="F34" s="286">
        <f t="shared" si="2"/>
        <v>0</v>
      </c>
      <c r="G34" s="3"/>
      <c r="H34" s="286">
        <f t="shared" si="3"/>
        <v>0</v>
      </c>
      <c r="I34" s="3"/>
      <c r="J34" s="561"/>
      <c r="K34" s="561"/>
      <c r="L34" s="561"/>
      <c r="M34" s="71"/>
      <c r="N34" s="71"/>
      <c r="O34" s="71"/>
      <c r="P34" s="71"/>
      <c r="Q34" s="71"/>
      <c r="AI34" s="293">
        <f t="shared" si="5"/>
        <v>0</v>
      </c>
      <c r="AJ34" s="293">
        <f t="shared" si="6"/>
        <v>0</v>
      </c>
      <c r="AK34" s="293" t="e">
        <f>#REF!</f>
        <v>#REF!</v>
      </c>
      <c r="AL34" s="293" t="e">
        <f>#REF!</f>
        <v>#REF!</v>
      </c>
      <c r="AM34" s="293" t="e">
        <f>#REF!</f>
        <v>#REF!</v>
      </c>
      <c r="AN34" s="293">
        <f t="shared" si="7"/>
        <v>0</v>
      </c>
      <c r="AO34" s="293">
        <f t="shared" si="8"/>
        <v>0</v>
      </c>
      <c r="AP34" s="293">
        <f t="shared" si="9"/>
        <v>0</v>
      </c>
      <c r="AQ34" s="293">
        <f t="shared" si="10"/>
        <v>0</v>
      </c>
      <c r="AR34" s="293">
        <f t="shared" si="11"/>
        <v>0</v>
      </c>
      <c r="AS34" s="319"/>
    </row>
    <row r="35" spans="1:45" ht="14.25" customHeight="1" x14ac:dyDescent="0.2">
      <c r="A35" s="132" t="str">
        <f t="shared" si="0"/>
        <v/>
      </c>
      <c r="B35" s="527"/>
      <c r="C35" s="287">
        <f t="shared" si="12"/>
        <v>0</v>
      </c>
      <c r="D35" s="288">
        <f t="shared" si="4"/>
        <v>0</v>
      </c>
      <c r="E35" s="530" t="str">
        <f t="shared" si="20"/>
        <v/>
      </c>
      <c r="F35" s="286">
        <f t="shared" si="2"/>
        <v>0</v>
      </c>
      <c r="G35" s="3"/>
      <c r="H35" s="286">
        <f t="shared" si="3"/>
        <v>0</v>
      </c>
      <c r="I35" s="3"/>
      <c r="J35" s="561"/>
      <c r="K35" s="561"/>
      <c r="L35" s="561"/>
      <c r="M35" s="71"/>
      <c r="N35" s="71"/>
      <c r="O35" s="71"/>
      <c r="P35" s="71"/>
      <c r="Q35" s="71"/>
      <c r="AI35" s="293">
        <f t="shared" si="5"/>
        <v>0</v>
      </c>
      <c r="AJ35" s="293">
        <f t="shared" si="6"/>
        <v>0</v>
      </c>
      <c r="AK35" s="293" t="e">
        <f>#REF!</f>
        <v>#REF!</v>
      </c>
      <c r="AL35" s="293" t="e">
        <f>#REF!</f>
        <v>#REF!</v>
      </c>
      <c r="AM35" s="293" t="e">
        <f>#REF!</f>
        <v>#REF!</v>
      </c>
      <c r="AN35" s="293">
        <f t="shared" si="7"/>
        <v>0</v>
      </c>
      <c r="AO35" s="293">
        <f t="shared" si="8"/>
        <v>0</v>
      </c>
      <c r="AP35" s="293">
        <f t="shared" si="9"/>
        <v>0</v>
      </c>
      <c r="AQ35" s="293">
        <f t="shared" si="10"/>
        <v>0</v>
      </c>
      <c r="AR35" s="293">
        <f t="shared" si="11"/>
        <v>0</v>
      </c>
      <c r="AS35" s="319"/>
    </row>
    <row r="36" spans="1:45" ht="14.25" customHeight="1" x14ac:dyDescent="0.2">
      <c r="A36" s="132" t="str">
        <f t="shared" si="0"/>
        <v/>
      </c>
      <c r="B36" s="527"/>
      <c r="C36" s="287">
        <f t="shared" si="12"/>
        <v>0</v>
      </c>
      <c r="D36" s="288">
        <f t="shared" si="4"/>
        <v>0</v>
      </c>
      <c r="E36" s="530" t="str">
        <f t="shared" si="20"/>
        <v/>
      </c>
      <c r="F36" s="286">
        <f t="shared" si="2"/>
        <v>0</v>
      </c>
      <c r="G36" s="3"/>
      <c r="H36" s="286">
        <f t="shared" si="3"/>
        <v>0</v>
      </c>
      <c r="I36" s="3"/>
      <c r="J36" s="561"/>
      <c r="K36" s="561"/>
      <c r="L36" s="561"/>
      <c r="M36" s="71"/>
      <c r="N36" s="71"/>
      <c r="O36" s="71"/>
      <c r="P36" s="71"/>
      <c r="Q36" s="71"/>
      <c r="AI36" s="293">
        <f t="shared" si="5"/>
        <v>0</v>
      </c>
      <c r="AJ36" s="293">
        <f t="shared" si="6"/>
        <v>0</v>
      </c>
      <c r="AK36" s="293" t="e">
        <f>#REF!</f>
        <v>#REF!</v>
      </c>
      <c r="AL36" s="293" t="e">
        <f>#REF!</f>
        <v>#REF!</v>
      </c>
      <c r="AM36" s="293" t="e">
        <f>#REF!</f>
        <v>#REF!</v>
      </c>
      <c r="AN36" s="293">
        <f t="shared" si="7"/>
        <v>0</v>
      </c>
      <c r="AO36" s="293">
        <f t="shared" si="8"/>
        <v>0</v>
      </c>
      <c r="AP36" s="293">
        <f t="shared" si="9"/>
        <v>0</v>
      </c>
      <c r="AQ36" s="293">
        <f t="shared" si="10"/>
        <v>0</v>
      </c>
      <c r="AR36" s="293">
        <f t="shared" si="11"/>
        <v>0</v>
      </c>
      <c r="AS36" s="319"/>
    </row>
    <row r="37" spans="1:45" ht="14.25" customHeight="1" x14ac:dyDescent="0.2">
      <c r="A37" s="132" t="str">
        <f t="shared" si="0"/>
        <v/>
      </c>
      <c r="B37" s="527"/>
      <c r="C37" s="287">
        <f t="shared" si="12"/>
        <v>0</v>
      </c>
      <c r="D37" s="288">
        <f t="shared" si="4"/>
        <v>0</v>
      </c>
      <c r="E37" s="530" t="str">
        <f t="shared" si="20"/>
        <v/>
      </c>
      <c r="F37" s="286">
        <f t="shared" si="2"/>
        <v>0</v>
      </c>
      <c r="G37" s="3"/>
      <c r="H37" s="286">
        <f t="shared" si="3"/>
        <v>0</v>
      </c>
      <c r="I37" s="3"/>
      <c r="J37" s="561"/>
      <c r="K37" s="561"/>
      <c r="L37" s="561"/>
      <c r="M37" s="71"/>
      <c r="N37" s="71"/>
      <c r="O37" s="71"/>
      <c r="P37" s="71"/>
      <c r="Q37" s="71"/>
      <c r="AI37" s="293">
        <f t="shared" si="5"/>
        <v>0</v>
      </c>
      <c r="AJ37" s="293">
        <f t="shared" si="6"/>
        <v>0</v>
      </c>
      <c r="AK37" s="293" t="e">
        <f>#REF!</f>
        <v>#REF!</v>
      </c>
      <c r="AL37" s="293" t="e">
        <f>#REF!</f>
        <v>#REF!</v>
      </c>
      <c r="AM37" s="293" t="e">
        <f>#REF!</f>
        <v>#REF!</v>
      </c>
      <c r="AN37" s="293">
        <f t="shared" si="7"/>
        <v>0</v>
      </c>
      <c r="AO37" s="293">
        <f t="shared" si="8"/>
        <v>0</v>
      </c>
      <c r="AP37" s="293">
        <f t="shared" si="9"/>
        <v>0</v>
      </c>
      <c r="AQ37" s="293">
        <f t="shared" si="10"/>
        <v>0</v>
      </c>
      <c r="AR37" s="293">
        <f t="shared" si="11"/>
        <v>0</v>
      </c>
      <c r="AS37" s="319"/>
    </row>
    <row r="38" spans="1:45" ht="14.25" customHeight="1" x14ac:dyDescent="0.2">
      <c r="A38" s="132" t="str">
        <f t="shared" si="0"/>
        <v/>
      </c>
      <c r="B38" s="527"/>
      <c r="C38" s="287">
        <f t="shared" si="12"/>
        <v>0</v>
      </c>
      <c r="D38" s="288">
        <f t="shared" si="4"/>
        <v>0</v>
      </c>
      <c r="E38" s="530" t="str">
        <f t="shared" si="20"/>
        <v/>
      </c>
      <c r="F38" s="286">
        <f t="shared" si="2"/>
        <v>0</v>
      </c>
      <c r="G38" s="3"/>
      <c r="H38" s="286">
        <f t="shared" si="3"/>
        <v>0</v>
      </c>
      <c r="I38" s="3"/>
      <c r="J38" s="561"/>
      <c r="K38" s="561"/>
      <c r="L38" s="561"/>
      <c r="M38" s="71"/>
      <c r="N38" s="71"/>
      <c r="O38" s="71"/>
      <c r="P38" s="71"/>
      <c r="Q38" s="71"/>
      <c r="AI38" s="293">
        <f t="shared" si="5"/>
        <v>0</v>
      </c>
      <c r="AJ38" s="293">
        <f t="shared" si="6"/>
        <v>0</v>
      </c>
      <c r="AK38" s="293" t="e">
        <f>#REF!</f>
        <v>#REF!</v>
      </c>
      <c r="AL38" s="293" t="e">
        <f>#REF!</f>
        <v>#REF!</v>
      </c>
      <c r="AM38" s="293" t="e">
        <f>#REF!</f>
        <v>#REF!</v>
      </c>
      <c r="AN38" s="293">
        <f t="shared" si="7"/>
        <v>0</v>
      </c>
      <c r="AO38" s="293">
        <f t="shared" si="8"/>
        <v>0</v>
      </c>
      <c r="AP38" s="293">
        <f t="shared" si="9"/>
        <v>0</v>
      </c>
      <c r="AQ38" s="293">
        <f t="shared" si="10"/>
        <v>0</v>
      </c>
      <c r="AR38" s="293">
        <f t="shared" si="11"/>
        <v>0</v>
      </c>
      <c r="AS38" s="319"/>
    </row>
    <row r="39" spans="1:45" ht="14.25" customHeight="1" x14ac:dyDescent="0.2">
      <c r="A39" s="132" t="str">
        <f t="shared" si="0"/>
        <v/>
      </c>
      <c r="B39" s="527"/>
      <c r="C39" s="287">
        <f t="shared" si="12"/>
        <v>0</v>
      </c>
      <c r="D39" s="288">
        <f t="shared" si="4"/>
        <v>0</v>
      </c>
      <c r="E39" s="530" t="str">
        <f t="shared" si="20"/>
        <v/>
      </c>
      <c r="F39" s="286">
        <f t="shared" si="2"/>
        <v>0</v>
      </c>
      <c r="G39" s="3"/>
      <c r="H39" s="286">
        <f t="shared" si="3"/>
        <v>0</v>
      </c>
      <c r="I39" s="3"/>
      <c r="J39" s="561"/>
      <c r="K39" s="561"/>
      <c r="L39" s="561"/>
      <c r="M39" s="71"/>
      <c r="N39" s="71"/>
      <c r="O39" s="71"/>
      <c r="P39" s="71"/>
      <c r="Q39" s="71"/>
      <c r="AI39" s="293">
        <f t="shared" si="5"/>
        <v>0</v>
      </c>
      <c r="AJ39" s="293">
        <f t="shared" si="6"/>
        <v>0</v>
      </c>
      <c r="AK39" s="293" t="e">
        <f>#REF!</f>
        <v>#REF!</v>
      </c>
      <c r="AL39" s="293" t="e">
        <f>#REF!</f>
        <v>#REF!</v>
      </c>
      <c r="AM39" s="293" t="e">
        <f>#REF!</f>
        <v>#REF!</v>
      </c>
      <c r="AN39" s="293">
        <f t="shared" si="7"/>
        <v>0</v>
      </c>
      <c r="AO39" s="293">
        <f t="shared" si="8"/>
        <v>0</v>
      </c>
      <c r="AP39" s="293">
        <f t="shared" si="9"/>
        <v>0</v>
      </c>
      <c r="AQ39" s="293">
        <f t="shared" si="10"/>
        <v>0</v>
      </c>
      <c r="AR39" s="293">
        <f t="shared" si="11"/>
        <v>0</v>
      </c>
      <c r="AS39" s="319"/>
    </row>
    <row r="40" spans="1:45" ht="14.25" customHeight="1" x14ac:dyDescent="0.2">
      <c r="A40" s="132" t="str">
        <f t="shared" si="0"/>
        <v/>
      </c>
      <c r="B40" s="527"/>
      <c r="C40" s="287">
        <f t="shared" si="12"/>
        <v>0</v>
      </c>
      <c r="D40" s="288">
        <f t="shared" si="4"/>
        <v>0</v>
      </c>
      <c r="E40" s="530" t="str">
        <f t="shared" si="20"/>
        <v/>
      </c>
      <c r="F40" s="286">
        <f t="shared" si="2"/>
        <v>0</v>
      </c>
      <c r="G40" s="3"/>
      <c r="H40" s="286">
        <f t="shared" si="3"/>
        <v>0</v>
      </c>
      <c r="I40" s="3"/>
      <c r="J40" s="561"/>
      <c r="K40" s="561"/>
      <c r="L40" s="561"/>
      <c r="M40" s="71"/>
      <c r="N40" s="71"/>
      <c r="O40" s="71"/>
      <c r="P40" s="71"/>
      <c r="Q40" s="71"/>
      <c r="AI40" s="293">
        <f t="shared" si="5"/>
        <v>0</v>
      </c>
      <c r="AJ40" s="293">
        <f t="shared" si="6"/>
        <v>0</v>
      </c>
      <c r="AK40" s="293" t="e">
        <f>#REF!</f>
        <v>#REF!</v>
      </c>
      <c r="AL40" s="293" t="e">
        <f>#REF!</f>
        <v>#REF!</v>
      </c>
      <c r="AM40" s="293" t="e">
        <f>#REF!</f>
        <v>#REF!</v>
      </c>
      <c r="AN40" s="293">
        <f t="shared" si="7"/>
        <v>0</v>
      </c>
      <c r="AO40" s="293">
        <f t="shared" si="8"/>
        <v>0</v>
      </c>
      <c r="AP40" s="293">
        <f t="shared" si="9"/>
        <v>0</v>
      </c>
      <c r="AQ40" s="293">
        <f t="shared" si="10"/>
        <v>0</v>
      </c>
      <c r="AR40" s="293">
        <f t="shared" si="11"/>
        <v>0</v>
      </c>
      <c r="AS40" s="319"/>
    </row>
    <row r="41" spans="1:45" ht="14.25" customHeight="1" x14ac:dyDescent="0.2">
      <c r="A41" s="132" t="str">
        <f t="shared" si="0"/>
        <v/>
      </c>
      <c r="B41" s="527"/>
      <c r="C41" s="287">
        <f t="shared" si="12"/>
        <v>0</v>
      </c>
      <c r="D41" s="288">
        <f t="shared" si="4"/>
        <v>0</v>
      </c>
      <c r="E41" s="530" t="str">
        <f t="shared" si="20"/>
        <v/>
      </c>
      <c r="F41" s="286">
        <f t="shared" si="2"/>
        <v>0</v>
      </c>
      <c r="G41" s="3"/>
      <c r="H41" s="286">
        <f t="shared" si="3"/>
        <v>0</v>
      </c>
      <c r="I41" s="3"/>
      <c r="J41" s="561"/>
      <c r="K41" s="561"/>
      <c r="L41" s="561"/>
      <c r="M41" s="71"/>
      <c r="N41" s="71"/>
      <c r="O41" s="71"/>
      <c r="P41" s="71"/>
      <c r="Q41" s="71"/>
      <c r="AI41" s="293">
        <f t="shared" ref="AI41:AI78" si="21">G41</f>
        <v>0</v>
      </c>
      <c r="AJ41" s="293">
        <f t="shared" ref="AJ41:AJ78" si="22">I41</f>
        <v>0</v>
      </c>
      <c r="AK41" s="293" t="e">
        <f>#REF!</f>
        <v>#REF!</v>
      </c>
      <c r="AL41" s="293" t="e">
        <f>#REF!</f>
        <v>#REF!</v>
      </c>
      <c r="AM41" s="293" t="e">
        <f>#REF!</f>
        <v>#REF!</v>
      </c>
      <c r="AN41" s="293">
        <f t="shared" ref="AN41:AN78" si="23">F41</f>
        <v>0</v>
      </c>
      <c r="AO41" s="293">
        <f t="shared" ref="AO41:AO78" si="24">H41</f>
        <v>0</v>
      </c>
      <c r="AP41" s="293">
        <f t="shared" ref="AP41:AP78" si="25">J41</f>
        <v>0</v>
      </c>
      <c r="AQ41" s="293">
        <f t="shared" ref="AQ41:AQ78" si="26">K41</f>
        <v>0</v>
      </c>
      <c r="AR41" s="293">
        <f t="shared" ref="AR41:AR78" si="27">L41</f>
        <v>0</v>
      </c>
      <c r="AS41" s="319"/>
    </row>
    <row r="42" spans="1:45" ht="14.25" customHeight="1" x14ac:dyDescent="0.2">
      <c r="A42" s="132" t="str">
        <f t="shared" si="0"/>
        <v/>
      </c>
      <c r="B42" s="527"/>
      <c r="C42" s="287">
        <f t="shared" si="12"/>
        <v>0</v>
      </c>
      <c r="D42" s="288">
        <f t="shared" si="4"/>
        <v>0</v>
      </c>
      <c r="E42" s="530" t="str">
        <f t="shared" si="20"/>
        <v/>
      </c>
      <c r="F42" s="286">
        <f t="shared" si="2"/>
        <v>0</v>
      </c>
      <c r="G42" s="3"/>
      <c r="H42" s="286">
        <f t="shared" si="3"/>
        <v>0</v>
      </c>
      <c r="I42" s="3"/>
      <c r="J42" s="561"/>
      <c r="K42" s="561"/>
      <c r="L42" s="561"/>
      <c r="M42" s="71"/>
      <c r="N42" s="71"/>
      <c r="O42" s="71"/>
      <c r="P42" s="71"/>
      <c r="Q42" s="71"/>
      <c r="AI42" s="293">
        <f t="shared" si="21"/>
        <v>0</v>
      </c>
      <c r="AJ42" s="293">
        <f t="shared" si="22"/>
        <v>0</v>
      </c>
      <c r="AK42" s="293" t="e">
        <f>#REF!</f>
        <v>#REF!</v>
      </c>
      <c r="AL42" s="293" t="e">
        <f>#REF!</f>
        <v>#REF!</v>
      </c>
      <c r="AM42" s="293" t="e">
        <f>#REF!</f>
        <v>#REF!</v>
      </c>
      <c r="AN42" s="293">
        <f t="shared" si="23"/>
        <v>0</v>
      </c>
      <c r="AO42" s="293">
        <f t="shared" si="24"/>
        <v>0</v>
      </c>
      <c r="AP42" s="293">
        <f t="shared" si="25"/>
        <v>0</v>
      </c>
      <c r="AQ42" s="293">
        <f t="shared" si="26"/>
        <v>0</v>
      </c>
      <c r="AR42" s="293">
        <f t="shared" si="27"/>
        <v>0</v>
      </c>
      <c r="AS42" s="319"/>
    </row>
    <row r="43" spans="1:45" ht="14.25" customHeight="1" x14ac:dyDescent="0.2">
      <c r="A43" s="132" t="str">
        <f t="shared" si="0"/>
        <v/>
      </c>
      <c r="B43" s="527"/>
      <c r="C43" s="287">
        <f t="shared" si="12"/>
        <v>0</v>
      </c>
      <c r="D43" s="288">
        <f t="shared" si="4"/>
        <v>0</v>
      </c>
      <c r="E43" s="530" t="str">
        <f t="shared" si="20"/>
        <v/>
      </c>
      <c r="F43" s="286">
        <f t="shared" si="2"/>
        <v>0</v>
      </c>
      <c r="G43" s="3"/>
      <c r="H43" s="286">
        <f t="shared" si="3"/>
        <v>0</v>
      </c>
      <c r="I43" s="3"/>
      <c r="J43" s="561"/>
      <c r="K43" s="561"/>
      <c r="L43" s="561"/>
      <c r="M43" s="71"/>
      <c r="N43" s="71"/>
      <c r="O43" s="71"/>
      <c r="P43" s="71"/>
      <c r="Q43" s="71"/>
      <c r="AI43" s="293">
        <f t="shared" si="21"/>
        <v>0</v>
      </c>
      <c r="AJ43" s="293">
        <f t="shared" si="22"/>
        <v>0</v>
      </c>
      <c r="AK43" s="293" t="e">
        <f>#REF!</f>
        <v>#REF!</v>
      </c>
      <c r="AL43" s="293" t="e">
        <f>#REF!</f>
        <v>#REF!</v>
      </c>
      <c r="AM43" s="293" t="e">
        <f>#REF!</f>
        <v>#REF!</v>
      </c>
      <c r="AN43" s="293">
        <f t="shared" si="23"/>
        <v>0</v>
      </c>
      <c r="AO43" s="293">
        <f t="shared" si="24"/>
        <v>0</v>
      </c>
      <c r="AP43" s="293">
        <f t="shared" si="25"/>
        <v>0</v>
      </c>
      <c r="AQ43" s="293">
        <f t="shared" si="26"/>
        <v>0</v>
      </c>
      <c r="AR43" s="293">
        <f t="shared" si="27"/>
        <v>0</v>
      </c>
      <c r="AS43" s="319"/>
    </row>
    <row r="44" spans="1:45" ht="14.25" customHeight="1" x14ac:dyDescent="0.2">
      <c r="A44" s="132" t="str">
        <f t="shared" si="0"/>
        <v/>
      </c>
      <c r="B44" s="527"/>
      <c r="C44" s="287">
        <f t="shared" si="12"/>
        <v>0</v>
      </c>
      <c r="D44" s="288">
        <f t="shared" si="4"/>
        <v>0</v>
      </c>
      <c r="E44" s="530" t="str">
        <f t="shared" si="20"/>
        <v/>
      </c>
      <c r="F44" s="286">
        <f t="shared" si="2"/>
        <v>0</v>
      </c>
      <c r="G44" s="3"/>
      <c r="H44" s="286">
        <f t="shared" si="3"/>
        <v>0</v>
      </c>
      <c r="I44" s="3"/>
      <c r="J44" s="561"/>
      <c r="K44" s="561"/>
      <c r="L44" s="561"/>
      <c r="M44" s="71"/>
      <c r="N44" s="71"/>
      <c r="O44" s="71"/>
      <c r="P44" s="71"/>
      <c r="Q44" s="71"/>
      <c r="AI44" s="293">
        <f t="shared" si="21"/>
        <v>0</v>
      </c>
      <c r="AJ44" s="293">
        <f t="shared" si="22"/>
        <v>0</v>
      </c>
      <c r="AK44" s="293" t="e">
        <f>#REF!</f>
        <v>#REF!</v>
      </c>
      <c r="AL44" s="293" t="e">
        <f>#REF!</f>
        <v>#REF!</v>
      </c>
      <c r="AM44" s="293" t="e">
        <f>#REF!</f>
        <v>#REF!</v>
      </c>
      <c r="AN44" s="293">
        <f t="shared" si="23"/>
        <v>0</v>
      </c>
      <c r="AO44" s="293">
        <f t="shared" si="24"/>
        <v>0</v>
      </c>
      <c r="AP44" s="293">
        <f t="shared" si="25"/>
        <v>0</v>
      </c>
      <c r="AQ44" s="293">
        <f t="shared" si="26"/>
        <v>0</v>
      </c>
      <c r="AR44" s="293">
        <f t="shared" si="27"/>
        <v>0</v>
      </c>
      <c r="AS44" s="319"/>
    </row>
    <row r="45" spans="1:45" ht="14.25" customHeight="1" x14ac:dyDescent="0.2">
      <c r="A45" s="132" t="str">
        <f t="shared" si="0"/>
        <v/>
      </c>
      <c r="B45" s="527"/>
      <c r="C45" s="287">
        <f t="shared" si="12"/>
        <v>0</v>
      </c>
      <c r="D45" s="288">
        <f t="shared" si="4"/>
        <v>0</v>
      </c>
      <c r="E45" s="530" t="str">
        <f t="shared" si="20"/>
        <v/>
      </c>
      <c r="F45" s="286">
        <f t="shared" si="2"/>
        <v>0</v>
      </c>
      <c r="G45" s="3"/>
      <c r="H45" s="286">
        <f t="shared" si="3"/>
        <v>0</v>
      </c>
      <c r="I45" s="3"/>
      <c r="J45" s="561"/>
      <c r="K45" s="561"/>
      <c r="L45" s="561"/>
      <c r="M45" s="71"/>
      <c r="N45" s="71"/>
      <c r="O45" s="71"/>
      <c r="P45" s="71"/>
      <c r="Q45" s="71"/>
      <c r="AI45" s="293">
        <f t="shared" si="21"/>
        <v>0</v>
      </c>
      <c r="AJ45" s="293">
        <f t="shared" si="22"/>
        <v>0</v>
      </c>
      <c r="AK45" s="293" t="e">
        <f>#REF!</f>
        <v>#REF!</v>
      </c>
      <c r="AL45" s="293" t="e">
        <f>#REF!</f>
        <v>#REF!</v>
      </c>
      <c r="AM45" s="293" t="e">
        <f>#REF!</f>
        <v>#REF!</v>
      </c>
      <c r="AN45" s="293">
        <f t="shared" si="23"/>
        <v>0</v>
      </c>
      <c r="AO45" s="293">
        <f t="shared" si="24"/>
        <v>0</v>
      </c>
      <c r="AP45" s="293">
        <f t="shared" si="25"/>
        <v>0</v>
      </c>
      <c r="AQ45" s="293">
        <f t="shared" si="26"/>
        <v>0</v>
      </c>
      <c r="AR45" s="293">
        <f t="shared" si="27"/>
        <v>0</v>
      </c>
      <c r="AS45" s="319"/>
    </row>
    <row r="46" spans="1:45" ht="14.25" customHeight="1" x14ac:dyDescent="0.2">
      <c r="A46" s="132" t="str">
        <f t="shared" si="0"/>
        <v/>
      </c>
      <c r="B46" s="527"/>
      <c r="C46" s="287">
        <f t="shared" si="12"/>
        <v>0</v>
      </c>
      <c r="D46" s="288">
        <f t="shared" si="4"/>
        <v>0</v>
      </c>
      <c r="E46" s="530" t="str">
        <f t="shared" si="20"/>
        <v/>
      </c>
      <c r="F46" s="286">
        <f t="shared" si="2"/>
        <v>0</v>
      </c>
      <c r="G46" s="3"/>
      <c r="H46" s="286">
        <f t="shared" si="3"/>
        <v>0</v>
      </c>
      <c r="I46" s="3"/>
      <c r="J46" s="561"/>
      <c r="K46" s="561"/>
      <c r="L46" s="561"/>
      <c r="M46" s="71"/>
      <c r="N46" s="71"/>
      <c r="O46" s="71"/>
      <c r="P46" s="71"/>
      <c r="Q46" s="71"/>
      <c r="AI46" s="293">
        <f t="shared" si="21"/>
        <v>0</v>
      </c>
      <c r="AJ46" s="293">
        <f t="shared" si="22"/>
        <v>0</v>
      </c>
      <c r="AK46" s="293" t="e">
        <f>#REF!</f>
        <v>#REF!</v>
      </c>
      <c r="AL46" s="293" t="e">
        <f>#REF!</f>
        <v>#REF!</v>
      </c>
      <c r="AM46" s="293" t="e">
        <f>#REF!</f>
        <v>#REF!</v>
      </c>
      <c r="AN46" s="293">
        <f t="shared" si="23"/>
        <v>0</v>
      </c>
      <c r="AO46" s="293">
        <f t="shared" si="24"/>
        <v>0</v>
      </c>
      <c r="AP46" s="293">
        <f t="shared" si="25"/>
        <v>0</v>
      </c>
      <c r="AQ46" s="293">
        <f t="shared" si="26"/>
        <v>0</v>
      </c>
      <c r="AR46" s="293">
        <f t="shared" si="27"/>
        <v>0</v>
      </c>
      <c r="AS46" s="319"/>
    </row>
    <row r="47" spans="1:45" ht="14.25" customHeight="1" x14ac:dyDescent="0.2">
      <c r="A47" s="132" t="str">
        <f t="shared" si="0"/>
        <v/>
      </c>
      <c r="B47" s="527"/>
      <c r="C47" s="287">
        <f t="shared" si="12"/>
        <v>0</v>
      </c>
      <c r="D47" s="288">
        <f>C47*(B47-B25)</f>
        <v>0</v>
      </c>
      <c r="E47" s="530" t="str">
        <f t="shared" si="20"/>
        <v/>
      </c>
      <c r="F47" s="286">
        <f t="shared" si="2"/>
        <v>0</v>
      </c>
      <c r="G47" s="3"/>
      <c r="H47" s="286">
        <f t="shared" si="3"/>
        <v>0</v>
      </c>
      <c r="I47" s="3"/>
      <c r="J47" s="561"/>
      <c r="K47" s="561"/>
      <c r="L47" s="561"/>
      <c r="M47" s="71"/>
      <c r="N47" s="71"/>
      <c r="O47" s="71"/>
      <c r="P47" s="71"/>
      <c r="Q47" s="71"/>
      <c r="AI47" s="293">
        <f t="shared" si="21"/>
        <v>0</v>
      </c>
      <c r="AJ47" s="293">
        <f t="shared" si="22"/>
        <v>0</v>
      </c>
      <c r="AK47" s="293" t="e">
        <f>#REF!</f>
        <v>#REF!</v>
      </c>
      <c r="AL47" s="293" t="e">
        <f>#REF!</f>
        <v>#REF!</v>
      </c>
      <c r="AM47" s="293" t="e">
        <f>#REF!</f>
        <v>#REF!</v>
      </c>
      <c r="AN47" s="293">
        <f t="shared" si="23"/>
        <v>0</v>
      </c>
      <c r="AO47" s="293">
        <f t="shared" si="24"/>
        <v>0</v>
      </c>
      <c r="AP47" s="293">
        <f t="shared" si="25"/>
        <v>0</v>
      </c>
      <c r="AQ47" s="293">
        <f t="shared" si="26"/>
        <v>0</v>
      </c>
      <c r="AR47" s="293">
        <f t="shared" si="27"/>
        <v>0</v>
      </c>
      <c r="AS47" s="319"/>
    </row>
    <row r="48" spans="1:45" ht="14.25" customHeight="1" x14ac:dyDescent="0.2">
      <c r="A48" s="132" t="str">
        <f t="shared" si="0"/>
        <v/>
      </c>
      <c r="B48" s="527"/>
      <c r="C48" s="287">
        <f t="shared" si="12"/>
        <v>0</v>
      </c>
      <c r="D48" s="288">
        <f t="shared" ref="D48:D55" si="28">C48*(B48-B47)</f>
        <v>0</v>
      </c>
      <c r="E48" s="530" t="str">
        <f t="shared" si="20"/>
        <v/>
      </c>
      <c r="F48" s="286">
        <f t="shared" si="2"/>
        <v>0</v>
      </c>
      <c r="G48" s="3"/>
      <c r="H48" s="286">
        <f t="shared" si="3"/>
        <v>0</v>
      </c>
      <c r="I48" s="3"/>
      <c r="J48" s="561"/>
      <c r="K48" s="561"/>
      <c r="L48" s="561"/>
      <c r="M48" s="71"/>
      <c r="N48" s="71"/>
      <c r="O48" s="71"/>
      <c r="P48" s="71"/>
      <c r="Q48" s="71"/>
      <c r="AI48" s="293">
        <f t="shared" si="21"/>
        <v>0</v>
      </c>
      <c r="AJ48" s="293">
        <f t="shared" si="22"/>
        <v>0</v>
      </c>
      <c r="AK48" s="293" t="e">
        <f>#REF!</f>
        <v>#REF!</v>
      </c>
      <c r="AL48" s="293" t="e">
        <f>#REF!</f>
        <v>#REF!</v>
      </c>
      <c r="AM48" s="293" t="e">
        <f>#REF!</f>
        <v>#REF!</v>
      </c>
      <c r="AN48" s="293">
        <f t="shared" si="23"/>
        <v>0</v>
      </c>
      <c r="AO48" s="293">
        <f t="shared" si="24"/>
        <v>0</v>
      </c>
      <c r="AP48" s="293">
        <f t="shared" si="25"/>
        <v>0</v>
      </c>
      <c r="AQ48" s="293">
        <f t="shared" si="26"/>
        <v>0</v>
      </c>
      <c r="AR48" s="293">
        <f t="shared" si="27"/>
        <v>0</v>
      </c>
      <c r="AS48" s="319"/>
    </row>
    <row r="49" spans="1:45" ht="14.25" customHeight="1" x14ac:dyDescent="0.2">
      <c r="A49" s="132" t="str">
        <f t="shared" si="0"/>
        <v/>
      </c>
      <c r="B49" s="527"/>
      <c r="C49" s="287">
        <f t="shared" si="12"/>
        <v>0</v>
      </c>
      <c r="D49" s="288">
        <f t="shared" si="28"/>
        <v>0</v>
      </c>
      <c r="E49" s="530" t="str">
        <f t="shared" si="20"/>
        <v/>
      </c>
      <c r="F49" s="286">
        <f t="shared" si="2"/>
        <v>0</v>
      </c>
      <c r="G49" s="3"/>
      <c r="H49" s="286">
        <f t="shared" si="3"/>
        <v>0</v>
      </c>
      <c r="I49" s="3"/>
      <c r="J49" s="561"/>
      <c r="K49" s="561"/>
      <c r="L49" s="561"/>
      <c r="M49" s="71"/>
      <c r="N49" s="71"/>
      <c r="O49" s="71"/>
      <c r="P49" s="71"/>
      <c r="Q49" s="71"/>
      <c r="AI49" s="293">
        <f t="shared" si="21"/>
        <v>0</v>
      </c>
      <c r="AJ49" s="293">
        <f t="shared" si="22"/>
        <v>0</v>
      </c>
      <c r="AK49" s="293" t="e">
        <f>#REF!</f>
        <v>#REF!</v>
      </c>
      <c r="AL49" s="293" t="e">
        <f>#REF!</f>
        <v>#REF!</v>
      </c>
      <c r="AM49" s="293" t="e">
        <f>#REF!</f>
        <v>#REF!</v>
      </c>
      <c r="AN49" s="293">
        <f t="shared" si="23"/>
        <v>0</v>
      </c>
      <c r="AO49" s="293">
        <f t="shared" si="24"/>
        <v>0</v>
      </c>
      <c r="AP49" s="293">
        <f t="shared" si="25"/>
        <v>0</v>
      </c>
      <c r="AQ49" s="293">
        <f t="shared" si="26"/>
        <v>0</v>
      </c>
      <c r="AR49" s="293">
        <f t="shared" si="27"/>
        <v>0</v>
      </c>
      <c r="AS49" s="319"/>
    </row>
    <row r="50" spans="1:45" ht="14.25" customHeight="1" x14ac:dyDescent="0.2">
      <c r="A50" s="132" t="str">
        <f t="shared" si="0"/>
        <v/>
      </c>
      <c r="B50" s="527"/>
      <c r="C50" s="287">
        <f t="shared" si="12"/>
        <v>0</v>
      </c>
      <c r="D50" s="288">
        <f t="shared" si="28"/>
        <v>0</v>
      </c>
      <c r="E50" s="530" t="str">
        <f t="shared" si="20"/>
        <v/>
      </c>
      <c r="F50" s="286">
        <f t="shared" si="2"/>
        <v>0</v>
      </c>
      <c r="G50" s="3"/>
      <c r="H50" s="286">
        <f t="shared" si="3"/>
        <v>0</v>
      </c>
      <c r="I50" s="3"/>
      <c r="J50" s="561"/>
      <c r="K50" s="561"/>
      <c r="L50" s="561"/>
      <c r="M50" s="71"/>
      <c r="N50" s="71"/>
      <c r="O50" s="71"/>
      <c r="P50" s="71"/>
      <c r="Q50" s="71"/>
      <c r="AI50" s="293">
        <f t="shared" si="21"/>
        <v>0</v>
      </c>
      <c r="AJ50" s="293">
        <f t="shared" si="22"/>
        <v>0</v>
      </c>
      <c r="AK50" s="293" t="e">
        <f>#REF!</f>
        <v>#REF!</v>
      </c>
      <c r="AL50" s="293" t="e">
        <f>#REF!</f>
        <v>#REF!</v>
      </c>
      <c r="AM50" s="293" t="e">
        <f>#REF!</f>
        <v>#REF!</v>
      </c>
      <c r="AN50" s="293">
        <f t="shared" si="23"/>
        <v>0</v>
      </c>
      <c r="AO50" s="293">
        <f t="shared" si="24"/>
        <v>0</v>
      </c>
      <c r="AP50" s="293">
        <f t="shared" si="25"/>
        <v>0</v>
      </c>
      <c r="AQ50" s="293">
        <f t="shared" si="26"/>
        <v>0</v>
      </c>
      <c r="AR50" s="293">
        <f t="shared" si="27"/>
        <v>0</v>
      </c>
      <c r="AS50" s="319"/>
    </row>
    <row r="51" spans="1:45" ht="14.25" customHeight="1" x14ac:dyDescent="0.2">
      <c r="A51" s="132" t="str">
        <f t="shared" si="0"/>
        <v/>
      </c>
      <c r="B51" s="527"/>
      <c r="C51" s="287">
        <f t="shared" si="12"/>
        <v>0</v>
      </c>
      <c r="D51" s="288">
        <f t="shared" si="28"/>
        <v>0</v>
      </c>
      <c r="E51" s="530" t="str">
        <f t="shared" si="20"/>
        <v/>
      </c>
      <c r="F51" s="286">
        <f t="shared" si="2"/>
        <v>0</v>
      </c>
      <c r="G51" s="3"/>
      <c r="H51" s="286">
        <f t="shared" si="3"/>
        <v>0</v>
      </c>
      <c r="I51" s="3"/>
      <c r="J51" s="561"/>
      <c r="K51" s="561"/>
      <c r="L51" s="561"/>
      <c r="M51" s="71"/>
      <c r="N51" s="71"/>
      <c r="O51" s="71"/>
      <c r="P51" s="71"/>
      <c r="Q51" s="71"/>
      <c r="AI51" s="293">
        <f t="shared" si="21"/>
        <v>0</v>
      </c>
      <c r="AJ51" s="293">
        <f t="shared" si="22"/>
        <v>0</v>
      </c>
      <c r="AK51" s="293" t="e">
        <f>#REF!</f>
        <v>#REF!</v>
      </c>
      <c r="AL51" s="293" t="e">
        <f>#REF!</f>
        <v>#REF!</v>
      </c>
      <c r="AM51" s="293" t="e">
        <f>#REF!</f>
        <v>#REF!</v>
      </c>
      <c r="AN51" s="293">
        <f t="shared" si="23"/>
        <v>0</v>
      </c>
      <c r="AO51" s="293">
        <f t="shared" si="24"/>
        <v>0</v>
      </c>
      <c r="AP51" s="293">
        <f t="shared" si="25"/>
        <v>0</v>
      </c>
      <c r="AQ51" s="293">
        <f t="shared" si="26"/>
        <v>0</v>
      </c>
      <c r="AR51" s="293">
        <f t="shared" si="27"/>
        <v>0</v>
      </c>
      <c r="AS51" s="319"/>
    </row>
    <row r="52" spans="1:45" ht="14.25" customHeight="1" x14ac:dyDescent="0.2">
      <c r="A52" s="132" t="str">
        <f t="shared" si="0"/>
        <v/>
      </c>
      <c r="B52" s="527"/>
      <c r="C52" s="287">
        <f t="shared" si="12"/>
        <v>0</v>
      </c>
      <c r="D52" s="288">
        <f t="shared" si="28"/>
        <v>0</v>
      </c>
      <c r="E52" s="530" t="str">
        <f t="shared" si="20"/>
        <v/>
      </c>
      <c r="F52" s="286">
        <f t="shared" si="2"/>
        <v>0</v>
      </c>
      <c r="G52" s="3"/>
      <c r="H52" s="286">
        <f t="shared" si="3"/>
        <v>0</v>
      </c>
      <c r="I52" s="3"/>
      <c r="J52" s="561"/>
      <c r="K52" s="561"/>
      <c r="L52" s="561"/>
      <c r="M52" s="71"/>
      <c r="N52" s="71"/>
      <c r="O52" s="71"/>
      <c r="P52" s="71"/>
      <c r="Q52" s="71"/>
      <c r="AI52" s="293">
        <f t="shared" si="21"/>
        <v>0</v>
      </c>
      <c r="AJ52" s="293">
        <f t="shared" si="22"/>
        <v>0</v>
      </c>
      <c r="AK52" s="293" t="e">
        <f>#REF!</f>
        <v>#REF!</v>
      </c>
      <c r="AL52" s="293" t="e">
        <f>#REF!</f>
        <v>#REF!</v>
      </c>
      <c r="AM52" s="293" t="e">
        <f>#REF!</f>
        <v>#REF!</v>
      </c>
      <c r="AN52" s="293">
        <f t="shared" si="23"/>
        <v>0</v>
      </c>
      <c r="AO52" s="293">
        <f t="shared" si="24"/>
        <v>0</v>
      </c>
      <c r="AP52" s="293">
        <f t="shared" si="25"/>
        <v>0</v>
      </c>
      <c r="AQ52" s="293">
        <f t="shared" si="26"/>
        <v>0</v>
      </c>
      <c r="AR52" s="293">
        <f t="shared" si="27"/>
        <v>0</v>
      </c>
      <c r="AS52" s="319"/>
    </row>
    <row r="53" spans="1:45" ht="14.25" customHeight="1" x14ac:dyDescent="0.2">
      <c r="A53" s="132" t="str">
        <f t="shared" si="0"/>
        <v/>
      </c>
      <c r="B53" s="527"/>
      <c r="C53" s="287">
        <f t="shared" si="12"/>
        <v>0</v>
      </c>
      <c r="D53" s="288">
        <f t="shared" si="28"/>
        <v>0</v>
      </c>
      <c r="E53" s="530" t="str">
        <f t="shared" si="20"/>
        <v/>
      </c>
      <c r="F53" s="286">
        <f t="shared" si="2"/>
        <v>0</v>
      </c>
      <c r="G53" s="3"/>
      <c r="H53" s="286">
        <f t="shared" si="3"/>
        <v>0</v>
      </c>
      <c r="I53" s="3"/>
      <c r="J53" s="561"/>
      <c r="K53" s="561"/>
      <c r="L53" s="561"/>
      <c r="M53" s="71"/>
      <c r="N53" s="71"/>
      <c r="O53" s="71"/>
      <c r="P53" s="71"/>
      <c r="Q53" s="71"/>
      <c r="AI53" s="293">
        <f t="shared" si="21"/>
        <v>0</v>
      </c>
      <c r="AJ53" s="293">
        <f t="shared" si="22"/>
        <v>0</v>
      </c>
      <c r="AK53" s="293" t="e">
        <f>#REF!</f>
        <v>#REF!</v>
      </c>
      <c r="AL53" s="293" t="e">
        <f>#REF!</f>
        <v>#REF!</v>
      </c>
      <c r="AM53" s="293" t="e">
        <f>#REF!</f>
        <v>#REF!</v>
      </c>
      <c r="AN53" s="293">
        <f t="shared" si="23"/>
        <v>0</v>
      </c>
      <c r="AO53" s="293">
        <f t="shared" si="24"/>
        <v>0</v>
      </c>
      <c r="AP53" s="293">
        <f t="shared" si="25"/>
        <v>0</v>
      </c>
      <c r="AQ53" s="293">
        <f t="shared" si="26"/>
        <v>0</v>
      </c>
      <c r="AR53" s="293">
        <f t="shared" si="27"/>
        <v>0</v>
      </c>
      <c r="AS53" s="319"/>
    </row>
    <row r="54" spans="1:45" ht="14.25" customHeight="1" x14ac:dyDescent="0.2">
      <c r="A54" s="132" t="str">
        <f t="shared" si="0"/>
        <v/>
      </c>
      <c r="B54" s="527"/>
      <c r="C54" s="287">
        <f t="shared" si="12"/>
        <v>0</v>
      </c>
      <c r="D54" s="288">
        <f t="shared" si="28"/>
        <v>0</v>
      </c>
      <c r="E54" s="530" t="str">
        <f t="shared" si="20"/>
        <v/>
      </c>
      <c r="F54" s="286">
        <f t="shared" si="2"/>
        <v>0</v>
      </c>
      <c r="G54" s="3"/>
      <c r="H54" s="286">
        <f t="shared" si="3"/>
        <v>0</v>
      </c>
      <c r="I54" s="3"/>
      <c r="J54" s="561"/>
      <c r="K54" s="561"/>
      <c r="L54" s="561"/>
      <c r="M54" s="71"/>
      <c r="N54" s="71"/>
      <c r="O54" s="71"/>
      <c r="P54" s="71"/>
      <c r="Q54" s="71"/>
      <c r="AI54" s="293">
        <f t="shared" si="21"/>
        <v>0</v>
      </c>
      <c r="AJ54" s="293">
        <f t="shared" si="22"/>
        <v>0</v>
      </c>
      <c r="AK54" s="293" t="e">
        <f>#REF!</f>
        <v>#REF!</v>
      </c>
      <c r="AL54" s="293" t="e">
        <f>#REF!</f>
        <v>#REF!</v>
      </c>
      <c r="AM54" s="293" t="e">
        <f>#REF!</f>
        <v>#REF!</v>
      </c>
      <c r="AN54" s="293">
        <f t="shared" si="23"/>
        <v>0</v>
      </c>
      <c r="AO54" s="293">
        <f t="shared" si="24"/>
        <v>0</v>
      </c>
      <c r="AP54" s="293">
        <f t="shared" si="25"/>
        <v>0</v>
      </c>
      <c r="AQ54" s="293">
        <f t="shared" si="26"/>
        <v>0</v>
      </c>
      <c r="AR54" s="293">
        <f t="shared" si="27"/>
        <v>0</v>
      </c>
      <c r="AS54" s="319"/>
    </row>
    <row r="55" spans="1:45" ht="14.25" customHeight="1" x14ac:dyDescent="0.2">
      <c r="A55" s="132" t="str">
        <f t="shared" si="0"/>
        <v/>
      </c>
      <c r="B55" s="527"/>
      <c r="C55" s="287">
        <f t="shared" si="12"/>
        <v>0</v>
      </c>
      <c r="D55" s="288">
        <f t="shared" si="28"/>
        <v>0</v>
      </c>
      <c r="E55" s="530" t="str">
        <f t="shared" si="20"/>
        <v/>
      </c>
      <c r="F55" s="286">
        <f t="shared" si="2"/>
        <v>0</v>
      </c>
      <c r="G55" s="3"/>
      <c r="H55" s="286">
        <f t="shared" si="3"/>
        <v>0</v>
      </c>
      <c r="I55" s="3"/>
      <c r="J55" s="561"/>
      <c r="K55" s="561"/>
      <c r="L55" s="561"/>
      <c r="M55" s="71"/>
      <c r="N55" s="71"/>
      <c r="O55" s="71"/>
      <c r="P55" s="71"/>
      <c r="Q55" s="71"/>
      <c r="AI55" s="293">
        <f t="shared" si="21"/>
        <v>0</v>
      </c>
      <c r="AJ55" s="293">
        <f t="shared" si="22"/>
        <v>0</v>
      </c>
      <c r="AK55" s="293" t="e">
        <f>#REF!</f>
        <v>#REF!</v>
      </c>
      <c r="AL55" s="293" t="e">
        <f>#REF!</f>
        <v>#REF!</v>
      </c>
      <c r="AM55" s="293" t="e">
        <f>#REF!</f>
        <v>#REF!</v>
      </c>
      <c r="AN55" s="293">
        <f t="shared" si="23"/>
        <v>0</v>
      </c>
      <c r="AO55" s="293">
        <f t="shared" si="24"/>
        <v>0</v>
      </c>
      <c r="AP55" s="293">
        <f t="shared" si="25"/>
        <v>0</v>
      </c>
      <c r="AQ55" s="293">
        <f t="shared" si="26"/>
        <v>0</v>
      </c>
      <c r="AR55" s="293">
        <f t="shared" si="27"/>
        <v>0</v>
      </c>
      <c r="AS55" s="319"/>
    </row>
    <row r="56" spans="1:45" ht="14.25" customHeight="1" x14ac:dyDescent="0.2">
      <c r="A56" s="132" t="str">
        <f>B56&amp;$C$2</f>
        <v/>
      </c>
      <c r="B56" s="527"/>
      <c r="C56" s="287">
        <f>F56+H56</f>
        <v>0</v>
      </c>
      <c r="D56" s="288">
        <f>C56*(B56-B34)</f>
        <v>0</v>
      </c>
      <c r="E56" s="530" t="str">
        <f>IF((J56-K56)=0,"",C56/(J56-K56))</f>
        <v/>
      </c>
      <c r="F56" s="286">
        <f>G56*$F$8</f>
        <v>0</v>
      </c>
      <c r="G56" s="3"/>
      <c r="H56" s="286">
        <f>I56*$H$8</f>
        <v>0</v>
      </c>
      <c r="I56" s="3"/>
      <c r="J56" s="561"/>
      <c r="K56" s="561"/>
      <c r="L56" s="561"/>
      <c r="M56" s="71"/>
      <c r="N56" s="71"/>
      <c r="O56" s="71"/>
      <c r="P56" s="71"/>
      <c r="Q56" s="71"/>
      <c r="AI56" s="293">
        <f>G56</f>
        <v>0</v>
      </c>
      <c r="AJ56" s="293">
        <f>I56</f>
        <v>0</v>
      </c>
      <c r="AK56" s="293" t="e">
        <f>#REF!</f>
        <v>#REF!</v>
      </c>
      <c r="AL56" s="293" t="e">
        <f>#REF!</f>
        <v>#REF!</v>
      </c>
      <c r="AM56" s="293" t="e">
        <f>#REF!</f>
        <v>#REF!</v>
      </c>
      <c r="AN56" s="293">
        <f>F56</f>
        <v>0</v>
      </c>
      <c r="AO56" s="293">
        <f>H56</f>
        <v>0</v>
      </c>
      <c r="AP56" s="293">
        <f t="shared" ref="AP56:AR58" si="29">J56</f>
        <v>0</v>
      </c>
      <c r="AQ56" s="293">
        <f t="shared" si="29"/>
        <v>0</v>
      </c>
      <c r="AR56" s="293">
        <f t="shared" si="29"/>
        <v>0</v>
      </c>
      <c r="AS56" s="319"/>
    </row>
    <row r="57" spans="1:45" ht="14.25" customHeight="1" x14ac:dyDescent="0.2">
      <c r="A57" s="132" t="str">
        <f>B57&amp;$C$2</f>
        <v/>
      </c>
      <c r="B57" s="527"/>
      <c r="C57" s="287">
        <f>F57+H57</f>
        <v>0</v>
      </c>
      <c r="D57" s="288">
        <f>C57*(B57-B56)</f>
        <v>0</v>
      </c>
      <c r="E57" s="530" t="str">
        <f>IF((J57-K57)=0,"",C57/(J57-K57))</f>
        <v/>
      </c>
      <c r="F57" s="286">
        <f>G57*$F$8</f>
        <v>0</v>
      </c>
      <c r="G57" s="3"/>
      <c r="H57" s="286">
        <f>I57*$H$8</f>
        <v>0</v>
      </c>
      <c r="I57" s="3"/>
      <c r="J57" s="561"/>
      <c r="K57" s="561"/>
      <c r="L57" s="561"/>
      <c r="M57" s="71"/>
      <c r="N57" s="71"/>
      <c r="O57" s="71"/>
      <c r="P57" s="71"/>
      <c r="Q57" s="71"/>
      <c r="AI57" s="293">
        <f>G57</f>
        <v>0</v>
      </c>
      <c r="AJ57" s="293">
        <f>I57</f>
        <v>0</v>
      </c>
      <c r="AK57" s="293" t="e">
        <f>#REF!</f>
        <v>#REF!</v>
      </c>
      <c r="AL57" s="293" t="e">
        <f>#REF!</f>
        <v>#REF!</v>
      </c>
      <c r="AM57" s="293" t="e">
        <f>#REF!</f>
        <v>#REF!</v>
      </c>
      <c r="AN57" s="293">
        <f>F57</f>
        <v>0</v>
      </c>
      <c r="AO57" s="293">
        <f>H57</f>
        <v>0</v>
      </c>
      <c r="AP57" s="293">
        <f t="shared" si="29"/>
        <v>0</v>
      </c>
      <c r="AQ57" s="293">
        <f t="shared" si="29"/>
        <v>0</v>
      </c>
      <c r="AR57" s="293">
        <f t="shared" si="29"/>
        <v>0</v>
      </c>
      <c r="AS57" s="319"/>
    </row>
    <row r="58" spans="1:45" ht="14.25" customHeight="1" x14ac:dyDescent="0.2">
      <c r="A58" s="132" t="str">
        <f>B58&amp;$C$2</f>
        <v/>
      </c>
      <c r="B58" s="527"/>
      <c r="C58" s="287">
        <f>F58+H58</f>
        <v>0</v>
      </c>
      <c r="D58" s="288">
        <f>C58*(B58-B57)</f>
        <v>0</v>
      </c>
      <c r="E58" s="530" t="str">
        <f>IF((J58-K58)=0,"",C58/(J58-K58))</f>
        <v/>
      </c>
      <c r="F58" s="286">
        <f>G58*$F$8</f>
        <v>0</v>
      </c>
      <c r="G58" s="3"/>
      <c r="H58" s="286">
        <f>I58*$H$8</f>
        <v>0</v>
      </c>
      <c r="I58" s="3"/>
      <c r="J58" s="561"/>
      <c r="K58" s="561"/>
      <c r="L58" s="561"/>
      <c r="M58" s="71"/>
      <c r="N58" s="71"/>
      <c r="O58" s="71"/>
      <c r="P58" s="71"/>
      <c r="Q58" s="71"/>
      <c r="AI58" s="293">
        <f>G58</f>
        <v>0</v>
      </c>
      <c r="AJ58" s="293">
        <f>I58</f>
        <v>0</v>
      </c>
      <c r="AK58" s="293" t="e">
        <f>#REF!</f>
        <v>#REF!</v>
      </c>
      <c r="AL58" s="293" t="e">
        <f>#REF!</f>
        <v>#REF!</v>
      </c>
      <c r="AM58" s="293" t="e">
        <f>#REF!</f>
        <v>#REF!</v>
      </c>
      <c r="AN58" s="293">
        <f>F58</f>
        <v>0</v>
      </c>
      <c r="AO58" s="293">
        <f>H58</f>
        <v>0</v>
      </c>
      <c r="AP58" s="293">
        <f t="shared" si="29"/>
        <v>0</v>
      </c>
      <c r="AQ58" s="293">
        <f t="shared" si="29"/>
        <v>0</v>
      </c>
      <c r="AR58" s="293">
        <f t="shared" si="29"/>
        <v>0</v>
      </c>
      <c r="AS58" s="319"/>
    </row>
    <row r="59" spans="1:45" ht="14.25" customHeight="1" x14ac:dyDescent="0.2">
      <c r="A59" s="132" t="str">
        <f t="shared" ref="A59:A67" si="30">B59&amp;$C$2</f>
        <v/>
      </c>
      <c r="B59" s="527"/>
      <c r="C59" s="287">
        <f t="shared" ref="C59:C67" si="31">F59+H59</f>
        <v>0</v>
      </c>
      <c r="D59" s="288">
        <f>C59*(B59-B37)</f>
        <v>0</v>
      </c>
      <c r="E59" s="530" t="str">
        <f t="shared" ref="E59:E67" si="32">IF((J59-K59)=0,"",C59/(J59-K59))</f>
        <v/>
      </c>
      <c r="F59" s="286">
        <f t="shared" ref="F59:F67" si="33">G59*$F$8</f>
        <v>0</v>
      </c>
      <c r="G59" s="3"/>
      <c r="H59" s="286">
        <f t="shared" ref="H59:H67" si="34">I59*$H$8</f>
        <v>0</v>
      </c>
      <c r="I59" s="3"/>
      <c r="J59" s="561"/>
      <c r="K59" s="561"/>
      <c r="L59" s="561"/>
      <c r="M59" s="71"/>
      <c r="N59" s="71"/>
      <c r="O59" s="71"/>
      <c r="P59" s="71"/>
      <c r="Q59" s="71"/>
      <c r="AI59" s="293">
        <f t="shared" ref="AI59:AI67" si="35">G59</f>
        <v>0</v>
      </c>
      <c r="AJ59" s="293">
        <f t="shared" ref="AJ59:AJ67" si="36">I59</f>
        <v>0</v>
      </c>
      <c r="AK59" s="293" t="e">
        <f>#REF!</f>
        <v>#REF!</v>
      </c>
      <c r="AL59" s="293" t="e">
        <f>#REF!</f>
        <v>#REF!</v>
      </c>
      <c r="AM59" s="293" t="e">
        <f>#REF!</f>
        <v>#REF!</v>
      </c>
      <c r="AN59" s="293">
        <f t="shared" ref="AN59:AN67" si="37">F59</f>
        <v>0</v>
      </c>
      <c r="AO59" s="293">
        <f t="shared" ref="AO59:AO67" si="38">H59</f>
        <v>0</v>
      </c>
      <c r="AP59" s="293">
        <f t="shared" ref="AP59:AP67" si="39">J59</f>
        <v>0</v>
      </c>
      <c r="AQ59" s="293">
        <f t="shared" ref="AQ59:AQ67" si="40">K59</f>
        <v>0</v>
      </c>
      <c r="AR59" s="293">
        <f t="shared" ref="AR59:AR67" si="41">L59</f>
        <v>0</v>
      </c>
      <c r="AS59" s="319"/>
    </row>
    <row r="60" spans="1:45" ht="14.25" customHeight="1" x14ac:dyDescent="0.2">
      <c r="A60" s="132" t="str">
        <f t="shared" si="30"/>
        <v/>
      </c>
      <c r="B60" s="527"/>
      <c r="C60" s="287">
        <f t="shared" si="31"/>
        <v>0</v>
      </c>
      <c r="D60" s="288">
        <f t="shared" ref="D60:D67" si="42">C60*(B60-B59)</f>
        <v>0</v>
      </c>
      <c r="E60" s="530" t="str">
        <f t="shared" si="32"/>
        <v/>
      </c>
      <c r="F60" s="286">
        <f t="shared" si="33"/>
        <v>0</v>
      </c>
      <c r="G60" s="3"/>
      <c r="H60" s="286">
        <f t="shared" si="34"/>
        <v>0</v>
      </c>
      <c r="I60" s="3"/>
      <c r="J60" s="561"/>
      <c r="K60" s="561"/>
      <c r="L60" s="561"/>
      <c r="M60" s="71"/>
      <c r="N60" s="71"/>
      <c r="O60" s="71"/>
      <c r="P60" s="71"/>
      <c r="Q60" s="71"/>
      <c r="AI60" s="293">
        <f t="shared" si="35"/>
        <v>0</v>
      </c>
      <c r="AJ60" s="293">
        <f t="shared" si="36"/>
        <v>0</v>
      </c>
      <c r="AK60" s="293" t="e">
        <f>#REF!</f>
        <v>#REF!</v>
      </c>
      <c r="AL60" s="293" t="e">
        <f>#REF!</f>
        <v>#REF!</v>
      </c>
      <c r="AM60" s="293" t="e">
        <f>#REF!</f>
        <v>#REF!</v>
      </c>
      <c r="AN60" s="293">
        <f t="shared" si="37"/>
        <v>0</v>
      </c>
      <c r="AO60" s="293">
        <f t="shared" si="38"/>
        <v>0</v>
      </c>
      <c r="AP60" s="293">
        <f t="shared" si="39"/>
        <v>0</v>
      </c>
      <c r="AQ60" s="293">
        <f t="shared" si="40"/>
        <v>0</v>
      </c>
      <c r="AR60" s="293">
        <f t="shared" si="41"/>
        <v>0</v>
      </c>
      <c r="AS60" s="319"/>
    </row>
    <row r="61" spans="1:45" ht="14.25" customHeight="1" x14ac:dyDescent="0.2">
      <c r="A61" s="132" t="str">
        <f t="shared" si="30"/>
        <v/>
      </c>
      <c r="B61" s="527"/>
      <c r="C61" s="287">
        <f t="shared" si="31"/>
        <v>0</v>
      </c>
      <c r="D61" s="288">
        <f t="shared" si="42"/>
        <v>0</v>
      </c>
      <c r="E61" s="530" t="str">
        <f t="shared" si="32"/>
        <v/>
      </c>
      <c r="F61" s="286">
        <f t="shared" si="33"/>
        <v>0</v>
      </c>
      <c r="G61" s="3"/>
      <c r="H61" s="286">
        <f t="shared" si="34"/>
        <v>0</v>
      </c>
      <c r="I61" s="3"/>
      <c r="J61" s="561"/>
      <c r="K61" s="561"/>
      <c r="L61" s="561"/>
      <c r="M61" s="71"/>
      <c r="N61" s="71"/>
      <c r="O61" s="71"/>
      <c r="P61" s="71"/>
      <c r="Q61" s="71"/>
      <c r="AI61" s="293">
        <f t="shared" si="35"/>
        <v>0</v>
      </c>
      <c r="AJ61" s="293">
        <f t="shared" si="36"/>
        <v>0</v>
      </c>
      <c r="AK61" s="293" t="e">
        <f>#REF!</f>
        <v>#REF!</v>
      </c>
      <c r="AL61" s="293" t="e">
        <f>#REF!</f>
        <v>#REF!</v>
      </c>
      <c r="AM61" s="293" t="e">
        <f>#REF!</f>
        <v>#REF!</v>
      </c>
      <c r="AN61" s="293">
        <f t="shared" si="37"/>
        <v>0</v>
      </c>
      <c r="AO61" s="293">
        <f t="shared" si="38"/>
        <v>0</v>
      </c>
      <c r="AP61" s="293">
        <f t="shared" si="39"/>
        <v>0</v>
      </c>
      <c r="AQ61" s="293">
        <f t="shared" si="40"/>
        <v>0</v>
      </c>
      <c r="AR61" s="293">
        <f t="shared" si="41"/>
        <v>0</v>
      </c>
      <c r="AS61" s="319"/>
    </row>
    <row r="62" spans="1:45" ht="14.25" customHeight="1" x14ac:dyDescent="0.2">
      <c r="A62" s="132" t="str">
        <f t="shared" si="30"/>
        <v/>
      </c>
      <c r="B62" s="527"/>
      <c r="C62" s="287">
        <f t="shared" si="31"/>
        <v>0</v>
      </c>
      <c r="D62" s="288">
        <f t="shared" si="42"/>
        <v>0</v>
      </c>
      <c r="E62" s="530" t="str">
        <f t="shared" si="32"/>
        <v/>
      </c>
      <c r="F62" s="286">
        <f t="shared" si="33"/>
        <v>0</v>
      </c>
      <c r="G62" s="3"/>
      <c r="H62" s="286">
        <f t="shared" si="34"/>
        <v>0</v>
      </c>
      <c r="I62" s="3"/>
      <c r="J62" s="561"/>
      <c r="K62" s="561"/>
      <c r="L62" s="561"/>
      <c r="M62" s="71"/>
      <c r="N62" s="71"/>
      <c r="O62" s="71"/>
      <c r="P62" s="71"/>
      <c r="Q62" s="71"/>
      <c r="AI62" s="293">
        <f t="shared" si="35"/>
        <v>0</v>
      </c>
      <c r="AJ62" s="293">
        <f t="shared" si="36"/>
        <v>0</v>
      </c>
      <c r="AK62" s="293" t="e">
        <f>#REF!</f>
        <v>#REF!</v>
      </c>
      <c r="AL62" s="293" t="e">
        <f>#REF!</f>
        <v>#REF!</v>
      </c>
      <c r="AM62" s="293" t="e">
        <f>#REF!</f>
        <v>#REF!</v>
      </c>
      <c r="AN62" s="293">
        <f t="shared" si="37"/>
        <v>0</v>
      </c>
      <c r="AO62" s="293">
        <f t="shared" si="38"/>
        <v>0</v>
      </c>
      <c r="AP62" s="293">
        <f t="shared" si="39"/>
        <v>0</v>
      </c>
      <c r="AQ62" s="293">
        <f t="shared" si="40"/>
        <v>0</v>
      </c>
      <c r="AR62" s="293">
        <f t="shared" si="41"/>
        <v>0</v>
      </c>
      <c r="AS62" s="319"/>
    </row>
    <row r="63" spans="1:45" ht="14.25" customHeight="1" x14ac:dyDescent="0.2">
      <c r="A63" s="132" t="str">
        <f t="shared" si="30"/>
        <v/>
      </c>
      <c r="B63" s="527"/>
      <c r="C63" s="287">
        <f t="shared" si="31"/>
        <v>0</v>
      </c>
      <c r="D63" s="288">
        <f t="shared" si="42"/>
        <v>0</v>
      </c>
      <c r="E63" s="530" t="str">
        <f t="shared" si="32"/>
        <v/>
      </c>
      <c r="F63" s="286">
        <f t="shared" si="33"/>
        <v>0</v>
      </c>
      <c r="G63" s="3"/>
      <c r="H63" s="286">
        <f t="shared" si="34"/>
        <v>0</v>
      </c>
      <c r="I63" s="3"/>
      <c r="J63" s="561"/>
      <c r="K63" s="561"/>
      <c r="L63" s="561"/>
      <c r="M63" s="71"/>
      <c r="N63" s="71"/>
      <c r="O63" s="71"/>
      <c r="P63" s="71"/>
      <c r="Q63" s="71"/>
      <c r="AI63" s="293">
        <f t="shared" si="35"/>
        <v>0</v>
      </c>
      <c r="AJ63" s="293">
        <f t="shared" si="36"/>
        <v>0</v>
      </c>
      <c r="AK63" s="293" t="e">
        <f>#REF!</f>
        <v>#REF!</v>
      </c>
      <c r="AL63" s="293" t="e">
        <f>#REF!</f>
        <v>#REF!</v>
      </c>
      <c r="AM63" s="293" t="e">
        <f>#REF!</f>
        <v>#REF!</v>
      </c>
      <c r="AN63" s="293">
        <f t="shared" si="37"/>
        <v>0</v>
      </c>
      <c r="AO63" s="293">
        <f t="shared" si="38"/>
        <v>0</v>
      </c>
      <c r="AP63" s="293">
        <f t="shared" si="39"/>
        <v>0</v>
      </c>
      <c r="AQ63" s="293">
        <f t="shared" si="40"/>
        <v>0</v>
      </c>
      <c r="AR63" s="293">
        <f t="shared" si="41"/>
        <v>0</v>
      </c>
      <c r="AS63" s="319"/>
    </row>
    <row r="64" spans="1:45" ht="14.25" customHeight="1" x14ac:dyDescent="0.2">
      <c r="A64" s="132" t="str">
        <f t="shared" si="30"/>
        <v/>
      </c>
      <c r="B64" s="527"/>
      <c r="C64" s="287">
        <f t="shared" si="31"/>
        <v>0</v>
      </c>
      <c r="D64" s="288">
        <f t="shared" si="42"/>
        <v>0</v>
      </c>
      <c r="E64" s="530" t="str">
        <f t="shared" si="32"/>
        <v/>
      </c>
      <c r="F64" s="286">
        <f t="shared" si="33"/>
        <v>0</v>
      </c>
      <c r="G64" s="3"/>
      <c r="H64" s="286">
        <f t="shared" si="34"/>
        <v>0</v>
      </c>
      <c r="I64" s="3"/>
      <c r="J64" s="561"/>
      <c r="K64" s="561"/>
      <c r="L64" s="561"/>
      <c r="M64" s="71"/>
      <c r="N64" s="71"/>
      <c r="O64" s="71"/>
      <c r="P64" s="71"/>
      <c r="Q64" s="71"/>
      <c r="AI64" s="293">
        <f t="shared" si="35"/>
        <v>0</v>
      </c>
      <c r="AJ64" s="293">
        <f t="shared" si="36"/>
        <v>0</v>
      </c>
      <c r="AK64" s="293" t="e">
        <f>#REF!</f>
        <v>#REF!</v>
      </c>
      <c r="AL64" s="293" t="e">
        <f>#REF!</f>
        <v>#REF!</v>
      </c>
      <c r="AM64" s="293" t="e">
        <f>#REF!</f>
        <v>#REF!</v>
      </c>
      <c r="AN64" s="293">
        <f t="shared" si="37"/>
        <v>0</v>
      </c>
      <c r="AO64" s="293">
        <f t="shared" si="38"/>
        <v>0</v>
      </c>
      <c r="AP64" s="293">
        <f t="shared" si="39"/>
        <v>0</v>
      </c>
      <c r="AQ64" s="293">
        <f t="shared" si="40"/>
        <v>0</v>
      </c>
      <c r="AR64" s="293">
        <f t="shared" si="41"/>
        <v>0</v>
      </c>
      <c r="AS64" s="319"/>
    </row>
    <row r="65" spans="1:54" ht="14.25" customHeight="1" x14ac:dyDescent="0.2">
      <c r="A65" s="132" t="str">
        <f t="shared" si="30"/>
        <v/>
      </c>
      <c r="B65" s="527"/>
      <c r="C65" s="287">
        <f t="shared" si="31"/>
        <v>0</v>
      </c>
      <c r="D65" s="288">
        <f t="shared" si="42"/>
        <v>0</v>
      </c>
      <c r="E65" s="530" t="str">
        <f t="shared" si="32"/>
        <v/>
      </c>
      <c r="F65" s="286">
        <f t="shared" si="33"/>
        <v>0</v>
      </c>
      <c r="G65" s="3"/>
      <c r="H65" s="286">
        <f t="shared" si="34"/>
        <v>0</v>
      </c>
      <c r="I65" s="3"/>
      <c r="J65" s="561"/>
      <c r="K65" s="561"/>
      <c r="L65" s="561"/>
      <c r="M65" s="71"/>
      <c r="N65" s="71"/>
      <c r="O65" s="71"/>
      <c r="P65" s="71"/>
      <c r="Q65" s="71"/>
      <c r="AI65" s="293">
        <f t="shared" si="35"/>
        <v>0</v>
      </c>
      <c r="AJ65" s="293">
        <f t="shared" si="36"/>
        <v>0</v>
      </c>
      <c r="AK65" s="293" t="e">
        <f>#REF!</f>
        <v>#REF!</v>
      </c>
      <c r="AL65" s="293" t="e">
        <f>#REF!</f>
        <v>#REF!</v>
      </c>
      <c r="AM65" s="293" t="e">
        <f>#REF!</f>
        <v>#REF!</v>
      </c>
      <c r="AN65" s="293">
        <f t="shared" si="37"/>
        <v>0</v>
      </c>
      <c r="AO65" s="293">
        <f t="shared" si="38"/>
        <v>0</v>
      </c>
      <c r="AP65" s="293">
        <f t="shared" si="39"/>
        <v>0</v>
      </c>
      <c r="AQ65" s="293">
        <f t="shared" si="40"/>
        <v>0</v>
      </c>
      <c r="AR65" s="293">
        <f t="shared" si="41"/>
        <v>0</v>
      </c>
      <c r="AS65" s="319"/>
    </row>
    <row r="66" spans="1:54" ht="14.25" customHeight="1" x14ac:dyDescent="0.2">
      <c r="A66" s="132" t="str">
        <f t="shared" si="30"/>
        <v/>
      </c>
      <c r="B66" s="527"/>
      <c r="C66" s="287">
        <f t="shared" si="31"/>
        <v>0</v>
      </c>
      <c r="D66" s="288">
        <f t="shared" si="42"/>
        <v>0</v>
      </c>
      <c r="E66" s="530" t="str">
        <f t="shared" si="32"/>
        <v/>
      </c>
      <c r="F66" s="286">
        <f t="shared" si="33"/>
        <v>0</v>
      </c>
      <c r="G66" s="3"/>
      <c r="H66" s="286">
        <f t="shared" si="34"/>
        <v>0</v>
      </c>
      <c r="I66" s="3"/>
      <c r="J66" s="561"/>
      <c r="K66" s="561"/>
      <c r="L66" s="561"/>
      <c r="M66" s="71"/>
      <c r="N66" s="71"/>
      <c r="O66" s="71"/>
      <c r="P66" s="71"/>
      <c r="Q66" s="71"/>
      <c r="AI66" s="293">
        <f t="shared" si="35"/>
        <v>0</v>
      </c>
      <c r="AJ66" s="293">
        <f t="shared" si="36"/>
        <v>0</v>
      </c>
      <c r="AK66" s="293" t="e">
        <f>#REF!</f>
        <v>#REF!</v>
      </c>
      <c r="AL66" s="293" t="e">
        <f>#REF!</f>
        <v>#REF!</v>
      </c>
      <c r="AM66" s="293" t="e">
        <f>#REF!</f>
        <v>#REF!</v>
      </c>
      <c r="AN66" s="293">
        <f t="shared" si="37"/>
        <v>0</v>
      </c>
      <c r="AO66" s="293">
        <f t="shared" si="38"/>
        <v>0</v>
      </c>
      <c r="AP66" s="293">
        <f t="shared" si="39"/>
        <v>0</v>
      </c>
      <c r="AQ66" s="293">
        <f t="shared" si="40"/>
        <v>0</v>
      </c>
      <c r="AR66" s="293">
        <f t="shared" si="41"/>
        <v>0</v>
      </c>
      <c r="AS66" s="319"/>
    </row>
    <row r="67" spans="1:54" ht="14.25" customHeight="1" x14ac:dyDescent="0.2">
      <c r="A67" s="132" t="str">
        <f t="shared" si="30"/>
        <v/>
      </c>
      <c r="B67" s="527"/>
      <c r="C67" s="287">
        <f t="shared" si="31"/>
        <v>0</v>
      </c>
      <c r="D67" s="288">
        <f t="shared" si="42"/>
        <v>0</v>
      </c>
      <c r="E67" s="530" t="str">
        <f t="shared" si="32"/>
        <v/>
      </c>
      <c r="F67" s="286">
        <f t="shared" si="33"/>
        <v>0</v>
      </c>
      <c r="G67" s="3"/>
      <c r="H67" s="286">
        <f t="shared" si="34"/>
        <v>0</v>
      </c>
      <c r="I67" s="3"/>
      <c r="J67" s="561"/>
      <c r="K67" s="561"/>
      <c r="L67" s="561"/>
      <c r="M67" s="71"/>
      <c r="N67" s="71"/>
      <c r="O67" s="71"/>
      <c r="P67" s="71"/>
      <c r="Q67" s="71"/>
      <c r="AI67" s="293">
        <f t="shared" si="35"/>
        <v>0</v>
      </c>
      <c r="AJ67" s="293">
        <f t="shared" si="36"/>
        <v>0</v>
      </c>
      <c r="AK67" s="293" t="e">
        <f>#REF!</f>
        <v>#REF!</v>
      </c>
      <c r="AL67" s="293" t="e">
        <f>#REF!</f>
        <v>#REF!</v>
      </c>
      <c r="AM67" s="293" t="e">
        <f>#REF!</f>
        <v>#REF!</v>
      </c>
      <c r="AN67" s="293">
        <f t="shared" si="37"/>
        <v>0</v>
      </c>
      <c r="AO67" s="293">
        <f t="shared" si="38"/>
        <v>0</v>
      </c>
      <c r="AP67" s="293">
        <f t="shared" si="39"/>
        <v>0</v>
      </c>
      <c r="AQ67" s="293">
        <f t="shared" si="40"/>
        <v>0</v>
      </c>
      <c r="AR67" s="293">
        <f t="shared" si="41"/>
        <v>0</v>
      </c>
      <c r="AS67" s="319"/>
    </row>
    <row r="68" spans="1:54" ht="14.25" customHeight="1" x14ac:dyDescent="0.2">
      <c r="A68" s="132" t="str">
        <f t="shared" si="0"/>
        <v/>
      </c>
      <c r="B68" s="527"/>
      <c r="C68" s="287">
        <f t="shared" si="12"/>
        <v>0</v>
      </c>
      <c r="D68" s="288">
        <f>C68*(B68-B46)</f>
        <v>0</v>
      </c>
      <c r="E68" s="530" t="str">
        <f t="shared" si="20"/>
        <v/>
      </c>
      <c r="F68" s="286">
        <f t="shared" si="2"/>
        <v>0</v>
      </c>
      <c r="G68" s="3"/>
      <c r="H68" s="286">
        <f t="shared" si="3"/>
        <v>0</v>
      </c>
      <c r="I68" s="3"/>
      <c r="J68" s="561"/>
      <c r="K68" s="561"/>
      <c r="L68" s="561"/>
      <c r="M68" s="71"/>
      <c r="N68" s="71"/>
      <c r="O68" s="71"/>
      <c r="P68" s="71"/>
      <c r="Q68" s="71"/>
      <c r="AI68" s="293">
        <f t="shared" si="21"/>
        <v>0</v>
      </c>
      <c r="AJ68" s="293">
        <f t="shared" si="22"/>
        <v>0</v>
      </c>
      <c r="AK68" s="293" t="e">
        <f>#REF!</f>
        <v>#REF!</v>
      </c>
      <c r="AL68" s="293" t="e">
        <f>#REF!</f>
        <v>#REF!</v>
      </c>
      <c r="AM68" s="293" t="e">
        <f>#REF!</f>
        <v>#REF!</v>
      </c>
      <c r="AN68" s="293">
        <f t="shared" si="23"/>
        <v>0</v>
      </c>
      <c r="AO68" s="293">
        <f t="shared" si="24"/>
        <v>0</v>
      </c>
      <c r="AP68" s="293">
        <f t="shared" si="25"/>
        <v>0</v>
      </c>
      <c r="AQ68" s="293">
        <f t="shared" si="26"/>
        <v>0</v>
      </c>
      <c r="AR68" s="293">
        <f t="shared" si="27"/>
        <v>0</v>
      </c>
      <c r="AS68" s="319"/>
    </row>
    <row r="69" spans="1:54" ht="14.25" customHeight="1" x14ac:dyDescent="0.2">
      <c r="A69" s="132" t="str">
        <f t="shared" si="0"/>
        <v/>
      </c>
      <c r="B69" s="527"/>
      <c r="C69" s="287">
        <f t="shared" si="12"/>
        <v>0</v>
      </c>
      <c r="D69" s="288">
        <f t="shared" si="4"/>
        <v>0</v>
      </c>
      <c r="E69" s="530" t="str">
        <f t="shared" si="20"/>
        <v/>
      </c>
      <c r="F69" s="286">
        <f t="shared" si="2"/>
        <v>0</v>
      </c>
      <c r="G69" s="3"/>
      <c r="H69" s="286">
        <f t="shared" si="3"/>
        <v>0</v>
      </c>
      <c r="I69" s="3"/>
      <c r="J69" s="561"/>
      <c r="K69" s="561"/>
      <c r="L69" s="561"/>
      <c r="M69" s="71"/>
      <c r="N69" s="71"/>
      <c r="O69" s="71"/>
      <c r="P69" s="71"/>
      <c r="Q69" s="71"/>
      <c r="AI69" s="293">
        <f t="shared" si="21"/>
        <v>0</v>
      </c>
      <c r="AJ69" s="293">
        <f t="shared" si="22"/>
        <v>0</v>
      </c>
      <c r="AK69" s="293" t="e">
        <f>#REF!</f>
        <v>#REF!</v>
      </c>
      <c r="AL69" s="293" t="e">
        <f>#REF!</f>
        <v>#REF!</v>
      </c>
      <c r="AM69" s="293" t="e">
        <f>#REF!</f>
        <v>#REF!</v>
      </c>
      <c r="AN69" s="293">
        <f t="shared" si="23"/>
        <v>0</v>
      </c>
      <c r="AO69" s="293">
        <f t="shared" si="24"/>
        <v>0</v>
      </c>
      <c r="AP69" s="293">
        <f t="shared" si="25"/>
        <v>0</v>
      </c>
      <c r="AQ69" s="293">
        <f t="shared" si="26"/>
        <v>0</v>
      </c>
      <c r="AR69" s="293">
        <f t="shared" si="27"/>
        <v>0</v>
      </c>
      <c r="AS69" s="319"/>
    </row>
    <row r="70" spans="1:54" ht="14.25" customHeight="1" x14ac:dyDescent="0.2">
      <c r="A70" s="132" t="str">
        <f t="shared" si="0"/>
        <v/>
      </c>
      <c r="B70" s="527"/>
      <c r="C70" s="287">
        <f t="shared" si="12"/>
        <v>0</v>
      </c>
      <c r="D70" s="288">
        <f t="shared" si="4"/>
        <v>0</v>
      </c>
      <c r="E70" s="530" t="str">
        <f t="shared" si="20"/>
        <v/>
      </c>
      <c r="F70" s="286">
        <f t="shared" si="2"/>
        <v>0</v>
      </c>
      <c r="G70" s="3"/>
      <c r="H70" s="286">
        <f t="shared" si="3"/>
        <v>0</v>
      </c>
      <c r="I70" s="3"/>
      <c r="J70" s="561"/>
      <c r="K70" s="561"/>
      <c r="L70" s="561"/>
      <c r="M70" s="71"/>
      <c r="N70" s="71"/>
      <c r="O70" s="71"/>
      <c r="P70" s="71"/>
      <c r="Q70" s="71"/>
      <c r="AI70" s="293">
        <f t="shared" si="21"/>
        <v>0</v>
      </c>
      <c r="AJ70" s="293">
        <f t="shared" si="22"/>
        <v>0</v>
      </c>
      <c r="AK70" s="293" t="e">
        <f>#REF!</f>
        <v>#REF!</v>
      </c>
      <c r="AL70" s="293" t="e">
        <f>#REF!</f>
        <v>#REF!</v>
      </c>
      <c r="AM70" s="293" t="e">
        <f>#REF!</f>
        <v>#REF!</v>
      </c>
      <c r="AN70" s="293">
        <f t="shared" si="23"/>
        <v>0</v>
      </c>
      <c r="AO70" s="293">
        <f t="shared" si="24"/>
        <v>0</v>
      </c>
      <c r="AP70" s="293">
        <f t="shared" si="25"/>
        <v>0</v>
      </c>
      <c r="AQ70" s="293">
        <f t="shared" si="26"/>
        <v>0</v>
      </c>
      <c r="AR70" s="293">
        <f t="shared" si="27"/>
        <v>0</v>
      </c>
      <c r="AS70" s="319"/>
    </row>
    <row r="71" spans="1:54" ht="14.25" customHeight="1" x14ac:dyDescent="0.2">
      <c r="A71" s="132" t="str">
        <f t="shared" si="0"/>
        <v/>
      </c>
      <c r="B71" s="527"/>
      <c r="C71" s="287">
        <f t="shared" si="12"/>
        <v>0</v>
      </c>
      <c r="D71" s="288">
        <f t="shared" si="4"/>
        <v>0</v>
      </c>
      <c r="E71" s="530" t="str">
        <f t="shared" si="20"/>
        <v/>
      </c>
      <c r="F71" s="286">
        <f t="shared" si="2"/>
        <v>0</v>
      </c>
      <c r="G71" s="3"/>
      <c r="H71" s="286">
        <f t="shared" si="3"/>
        <v>0</v>
      </c>
      <c r="I71" s="3"/>
      <c r="J71" s="561"/>
      <c r="K71" s="561"/>
      <c r="L71" s="561"/>
      <c r="M71" s="71"/>
      <c r="N71" s="71"/>
      <c r="O71" s="71"/>
      <c r="P71" s="71"/>
      <c r="Q71" s="71"/>
      <c r="AI71" s="293">
        <f t="shared" si="21"/>
        <v>0</v>
      </c>
      <c r="AJ71" s="293">
        <f t="shared" si="22"/>
        <v>0</v>
      </c>
      <c r="AK71" s="293" t="e">
        <f>#REF!</f>
        <v>#REF!</v>
      </c>
      <c r="AL71" s="293" t="e">
        <f>#REF!</f>
        <v>#REF!</v>
      </c>
      <c r="AM71" s="293" t="e">
        <f>#REF!</f>
        <v>#REF!</v>
      </c>
      <c r="AN71" s="293">
        <f t="shared" si="23"/>
        <v>0</v>
      </c>
      <c r="AO71" s="293">
        <f t="shared" si="24"/>
        <v>0</v>
      </c>
      <c r="AP71" s="293">
        <f t="shared" si="25"/>
        <v>0</v>
      </c>
      <c r="AQ71" s="293">
        <f t="shared" si="26"/>
        <v>0</v>
      </c>
      <c r="AR71" s="293">
        <f t="shared" si="27"/>
        <v>0</v>
      </c>
      <c r="AS71" s="319"/>
    </row>
    <row r="72" spans="1:54" ht="14.25" customHeight="1" x14ac:dyDescent="0.2">
      <c r="A72" s="132" t="str">
        <f t="shared" si="0"/>
        <v/>
      </c>
      <c r="B72" s="527"/>
      <c r="C72" s="287">
        <f t="shared" si="12"/>
        <v>0</v>
      </c>
      <c r="D72" s="288">
        <f t="shared" si="4"/>
        <v>0</v>
      </c>
      <c r="E72" s="530" t="str">
        <f t="shared" si="20"/>
        <v/>
      </c>
      <c r="F72" s="286">
        <f t="shared" si="2"/>
        <v>0</v>
      </c>
      <c r="G72" s="3"/>
      <c r="H72" s="286">
        <f t="shared" si="3"/>
        <v>0</v>
      </c>
      <c r="I72" s="3"/>
      <c r="J72" s="561"/>
      <c r="K72" s="561"/>
      <c r="L72" s="561"/>
      <c r="M72" s="71"/>
      <c r="N72" s="71"/>
      <c r="O72" s="71"/>
      <c r="P72" s="71"/>
      <c r="Q72" s="71"/>
      <c r="AI72" s="293">
        <f t="shared" si="21"/>
        <v>0</v>
      </c>
      <c r="AJ72" s="293">
        <f t="shared" si="22"/>
        <v>0</v>
      </c>
      <c r="AK72" s="293" t="e">
        <f>#REF!</f>
        <v>#REF!</v>
      </c>
      <c r="AL72" s="293" t="e">
        <f>#REF!</f>
        <v>#REF!</v>
      </c>
      <c r="AM72" s="293" t="e">
        <f>#REF!</f>
        <v>#REF!</v>
      </c>
      <c r="AN72" s="293">
        <f t="shared" si="23"/>
        <v>0</v>
      </c>
      <c r="AO72" s="293">
        <f t="shared" si="24"/>
        <v>0</v>
      </c>
      <c r="AP72" s="293">
        <f t="shared" si="25"/>
        <v>0</v>
      </c>
      <c r="AQ72" s="293">
        <f t="shared" si="26"/>
        <v>0</v>
      </c>
      <c r="AR72" s="293">
        <f t="shared" si="27"/>
        <v>0</v>
      </c>
      <c r="AS72" s="319"/>
    </row>
    <row r="73" spans="1:54" ht="14.25" customHeight="1" x14ac:dyDescent="0.2">
      <c r="A73" s="132" t="str">
        <f t="shared" si="0"/>
        <v/>
      </c>
      <c r="B73" s="527"/>
      <c r="C73" s="287">
        <f t="shared" si="12"/>
        <v>0</v>
      </c>
      <c r="D73" s="288">
        <f t="shared" si="4"/>
        <v>0</v>
      </c>
      <c r="E73" s="530" t="str">
        <f t="shared" si="20"/>
        <v/>
      </c>
      <c r="F73" s="286">
        <f t="shared" si="2"/>
        <v>0</v>
      </c>
      <c r="G73" s="3"/>
      <c r="H73" s="286">
        <f t="shared" si="3"/>
        <v>0</v>
      </c>
      <c r="I73" s="3"/>
      <c r="J73" s="561"/>
      <c r="K73" s="561"/>
      <c r="L73" s="561"/>
      <c r="M73" s="71"/>
      <c r="N73" s="71"/>
      <c r="O73" s="71"/>
      <c r="P73" s="71"/>
      <c r="Q73" s="71"/>
      <c r="AI73" s="293">
        <f t="shared" si="21"/>
        <v>0</v>
      </c>
      <c r="AJ73" s="293">
        <f t="shared" si="22"/>
        <v>0</v>
      </c>
      <c r="AK73" s="293" t="e">
        <f>#REF!</f>
        <v>#REF!</v>
      </c>
      <c r="AL73" s="293" t="e">
        <f>#REF!</f>
        <v>#REF!</v>
      </c>
      <c r="AM73" s="293" t="e">
        <f>#REF!</f>
        <v>#REF!</v>
      </c>
      <c r="AN73" s="293">
        <f t="shared" si="23"/>
        <v>0</v>
      </c>
      <c r="AO73" s="293">
        <f t="shared" si="24"/>
        <v>0</v>
      </c>
      <c r="AP73" s="293">
        <f t="shared" si="25"/>
        <v>0</v>
      </c>
      <c r="AQ73" s="293">
        <f t="shared" si="26"/>
        <v>0</v>
      </c>
      <c r="AR73" s="293">
        <f t="shared" si="27"/>
        <v>0</v>
      </c>
      <c r="AS73" s="319"/>
    </row>
    <row r="74" spans="1:54" ht="14.25" customHeight="1" x14ac:dyDescent="0.2">
      <c r="A74" s="132" t="str">
        <f t="shared" si="0"/>
        <v/>
      </c>
      <c r="B74" s="527"/>
      <c r="C74" s="287">
        <f t="shared" si="12"/>
        <v>0</v>
      </c>
      <c r="D74" s="288">
        <f t="shared" si="4"/>
        <v>0</v>
      </c>
      <c r="E74" s="530" t="str">
        <f t="shared" si="20"/>
        <v/>
      </c>
      <c r="F74" s="286">
        <f t="shared" si="2"/>
        <v>0</v>
      </c>
      <c r="G74" s="3"/>
      <c r="H74" s="286">
        <f t="shared" si="3"/>
        <v>0</v>
      </c>
      <c r="I74" s="3"/>
      <c r="J74" s="561"/>
      <c r="K74" s="561"/>
      <c r="L74" s="561"/>
      <c r="M74" s="71"/>
      <c r="N74" s="71"/>
      <c r="O74" s="71"/>
      <c r="P74" s="71"/>
      <c r="Q74" s="71"/>
      <c r="AI74" s="293">
        <f t="shared" si="21"/>
        <v>0</v>
      </c>
      <c r="AJ74" s="293">
        <f t="shared" si="22"/>
        <v>0</v>
      </c>
      <c r="AK74" s="293" t="e">
        <f>#REF!</f>
        <v>#REF!</v>
      </c>
      <c r="AL74" s="293" t="e">
        <f>#REF!</f>
        <v>#REF!</v>
      </c>
      <c r="AM74" s="293" t="e">
        <f>#REF!</f>
        <v>#REF!</v>
      </c>
      <c r="AN74" s="293">
        <f t="shared" si="23"/>
        <v>0</v>
      </c>
      <c r="AO74" s="293">
        <f t="shared" si="24"/>
        <v>0</v>
      </c>
      <c r="AP74" s="293">
        <f t="shared" si="25"/>
        <v>0</v>
      </c>
      <c r="AQ74" s="293">
        <f t="shared" si="26"/>
        <v>0</v>
      </c>
      <c r="AR74" s="293">
        <f t="shared" si="27"/>
        <v>0</v>
      </c>
      <c r="AS74" s="319"/>
    </row>
    <row r="75" spans="1:54" ht="14.25" customHeight="1" x14ac:dyDescent="0.2">
      <c r="A75" s="132" t="str">
        <f t="shared" si="0"/>
        <v/>
      </c>
      <c r="B75" s="527"/>
      <c r="C75" s="287">
        <f t="shared" si="12"/>
        <v>0</v>
      </c>
      <c r="D75" s="288">
        <f t="shared" si="4"/>
        <v>0</v>
      </c>
      <c r="E75" s="530" t="str">
        <f t="shared" si="20"/>
        <v/>
      </c>
      <c r="F75" s="286">
        <f t="shared" si="2"/>
        <v>0</v>
      </c>
      <c r="G75" s="3"/>
      <c r="H75" s="286">
        <f t="shared" si="3"/>
        <v>0</v>
      </c>
      <c r="I75" s="3"/>
      <c r="J75" s="561"/>
      <c r="K75" s="561"/>
      <c r="L75" s="561"/>
      <c r="M75" s="71"/>
      <c r="N75" s="71"/>
      <c r="O75" s="71"/>
      <c r="P75" s="71"/>
      <c r="Q75" s="71"/>
      <c r="AI75" s="293">
        <f t="shared" si="21"/>
        <v>0</v>
      </c>
      <c r="AJ75" s="293">
        <f t="shared" si="22"/>
        <v>0</v>
      </c>
      <c r="AK75" s="293" t="e">
        <f>#REF!</f>
        <v>#REF!</v>
      </c>
      <c r="AL75" s="293" t="e">
        <f>#REF!</f>
        <v>#REF!</v>
      </c>
      <c r="AM75" s="293" t="e">
        <f>#REF!</f>
        <v>#REF!</v>
      </c>
      <c r="AN75" s="293">
        <f t="shared" si="23"/>
        <v>0</v>
      </c>
      <c r="AO75" s="293">
        <f t="shared" si="24"/>
        <v>0</v>
      </c>
      <c r="AP75" s="293">
        <f t="shared" si="25"/>
        <v>0</v>
      </c>
      <c r="AQ75" s="293">
        <f t="shared" si="26"/>
        <v>0</v>
      </c>
      <c r="AR75" s="293">
        <f t="shared" si="27"/>
        <v>0</v>
      </c>
      <c r="AS75" s="319"/>
    </row>
    <row r="76" spans="1:54" ht="14.25" customHeight="1" x14ac:dyDescent="0.2">
      <c r="A76" s="132" t="str">
        <f t="shared" si="0"/>
        <v/>
      </c>
      <c r="B76" s="527"/>
      <c r="C76" s="287">
        <f t="shared" si="12"/>
        <v>0</v>
      </c>
      <c r="D76" s="288">
        <f t="shared" si="4"/>
        <v>0</v>
      </c>
      <c r="E76" s="530" t="str">
        <f t="shared" si="20"/>
        <v/>
      </c>
      <c r="F76" s="286">
        <f t="shared" si="2"/>
        <v>0</v>
      </c>
      <c r="G76" s="3"/>
      <c r="H76" s="286">
        <f t="shared" si="3"/>
        <v>0</v>
      </c>
      <c r="I76" s="3"/>
      <c r="J76" s="561"/>
      <c r="K76" s="561"/>
      <c r="L76" s="561"/>
      <c r="M76" s="71"/>
      <c r="N76" s="71"/>
      <c r="O76" s="71"/>
      <c r="P76" s="71"/>
      <c r="Q76" s="71"/>
      <c r="AI76" s="293">
        <f t="shared" si="21"/>
        <v>0</v>
      </c>
      <c r="AJ76" s="293">
        <f t="shared" si="22"/>
        <v>0</v>
      </c>
      <c r="AK76" s="293" t="e">
        <f>#REF!</f>
        <v>#REF!</v>
      </c>
      <c r="AL76" s="293" t="e">
        <f>#REF!</f>
        <v>#REF!</v>
      </c>
      <c r="AM76" s="293" t="e">
        <f>#REF!</f>
        <v>#REF!</v>
      </c>
      <c r="AN76" s="293">
        <f t="shared" si="23"/>
        <v>0</v>
      </c>
      <c r="AO76" s="293">
        <f t="shared" si="24"/>
        <v>0</v>
      </c>
      <c r="AP76" s="293">
        <f t="shared" si="25"/>
        <v>0</v>
      </c>
      <c r="AQ76" s="293">
        <f t="shared" si="26"/>
        <v>0</v>
      </c>
      <c r="AR76" s="293">
        <f t="shared" si="27"/>
        <v>0</v>
      </c>
      <c r="AS76" s="319"/>
    </row>
    <row r="77" spans="1:54" ht="14.25" customHeight="1" x14ac:dyDescent="0.2">
      <c r="A77" s="132" t="str">
        <f t="shared" si="0"/>
        <v/>
      </c>
      <c r="B77" s="527"/>
      <c r="C77" s="287">
        <f t="shared" si="12"/>
        <v>0</v>
      </c>
      <c r="D77" s="288">
        <f t="shared" si="4"/>
        <v>0</v>
      </c>
      <c r="E77" s="530" t="str">
        <f t="shared" si="20"/>
        <v/>
      </c>
      <c r="F77" s="286">
        <f t="shared" si="2"/>
        <v>0</v>
      </c>
      <c r="G77" s="3"/>
      <c r="H77" s="286">
        <f t="shared" si="3"/>
        <v>0</v>
      </c>
      <c r="I77" s="3"/>
      <c r="J77" s="561"/>
      <c r="K77" s="561"/>
      <c r="L77" s="561"/>
      <c r="M77" s="71"/>
      <c r="N77" s="71"/>
      <c r="O77" s="71"/>
      <c r="P77" s="71"/>
      <c r="Q77" s="71"/>
      <c r="AI77" s="293">
        <f t="shared" si="21"/>
        <v>0</v>
      </c>
      <c r="AJ77" s="293">
        <f t="shared" si="22"/>
        <v>0</v>
      </c>
      <c r="AK77" s="293" t="e">
        <f>#REF!</f>
        <v>#REF!</v>
      </c>
      <c r="AL77" s="293" t="e">
        <f>#REF!</f>
        <v>#REF!</v>
      </c>
      <c r="AM77" s="293" t="e">
        <f>#REF!</f>
        <v>#REF!</v>
      </c>
      <c r="AN77" s="293">
        <f t="shared" si="23"/>
        <v>0</v>
      </c>
      <c r="AO77" s="293">
        <f t="shared" si="24"/>
        <v>0</v>
      </c>
      <c r="AP77" s="293">
        <f t="shared" si="25"/>
        <v>0</v>
      </c>
      <c r="AQ77" s="293">
        <f t="shared" si="26"/>
        <v>0</v>
      </c>
      <c r="AR77" s="293">
        <f t="shared" si="27"/>
        <v>0</v>
      </c>
      <c r="AS77" s="319"/>
    </row>
    <row r="78" spans="1:54" ht="14.25" customHeight="1" x14ac:dyDescent="0.2">
      <c r="A78" s="132" t="str">
        <f t="shared" si="0"/>
        <v/>
      </c>
      <c r="B78" s="527"/>
      <c r="C78" s="287">
        <f t="shared" si="12"/>
        <v>0</v>
      </c>
      <c r="D78" s="298">
        <f t="shared" si="4"/>
        <v>0</v>
      </c>
      <c r="E78" s="530" t="str">
        <f t="shared" si="20"/>
        <v/>
      </c>
      <c r="F78" s="296">
        <f t="shared" si="2"/>
        <v>0</v>
      </c>
      <c r="G78" s="7"/>
      <c r="H78" s="296">
        <f t="shared" si="3"/>
        <v>0</v>
      </c>
      <c r="I78" s="7"/>
      <c r="J78" s="562"/>
      <c r="K78" s="562"/>
      <c r="L78" s="562"/>
      <c r="M78" s="71"/>
      <c r="N78" s="71"/>
      <c r="O78" s="71"/>
      <c r="P78" s="71"/>
      <c r="Q78" s="71"/>
      <c r="AI78" s="293">
        <f t="shared" si="21"/>
        <v>0</v>
      </c>
      <c r="AJ78" s="293">
        <f t="shared" si="22"/>
        <v>0</v>
      </c>
      <c r="AK78" s="293" t="e">
        <f>#REF!</f>
        <v>#REF!</v>
      </c>
      <c r="AL78" s="293" t="e">
        <f>#REF!</f>
        <v>#REF!</v>
      </c>
      <c r="AM78" s="293" t="e">
        <f>#REF!</f>
        <v>#REF!</v>
      </c>
      <c r="AN78" s="293">
        <f t="shared" si="23"/>
        <v>0</v>
      </c>
      <c r="AO78" s="293">
        <f t="shared" si="24"/>
        <v>0</v>
      </c>
      <c r="AP78" s="293">
        <f t="shared" si="25"/>
        <v>0</v>
      </c>
      <c r="AQ78" s="293">
        <f t="shared" si="26"/>
        <v>0</v>
      </c>
      <c r="AR78" s="293">
        <f t="shared" si="27"/>
        <v>0</v>
      </c>
      <c r="AS78" s="319"/>
    </row>
    <row r="79" spans="1:54" s="308" customFormat="1" ht="14.25" customHeight="1" x14ac:dyDescent="0.2">
      <c r="A79" s="132" t="str">
        <f>B79&amp;A2</f>
        <v>Total</v>
      </c>
      <c r="B79" s="211" t="s">
        <v>23</v>
      </c>
      <c r="C79" s="213">
        <f>SUM(C10:C78)</f>
        <v>0</v>
      </c>
      <c r="D79" s="213"/>
      <c r="E79" s="338"/>
      <c r="F79" s="212">
        <f t="shared" ref="F79:K79" si="43">SUM(F10:F78)</f>
        <v>0</v>
      </c>
      <c r="G79" s="213">
        <f t="shared" si="43"/>
        <v>0</v>
      </c>
      <c r="H79" s="212">
        <f t="shared" si="43"/>
        <v>0</v>
      </c>
      <c r="I79" s="213">
        <f t="shared" si="43"/>
        <v>0</v>
      </c>
      <c r="J79" s="563">
        <f t="shared" si="43"/>
        <v>0</v>
      </c>
      <c r="K79" s="563">
        <f t="shared" si="43"/>
        <v>0</v>
      </c>
      <c r="L79" s="563"/>
      <c r="M79" s="71"/>
      <c r="N79" s="71"/>
      <c r="O79" s="71"/>
      <c r="P79" s="71"/>
      <c r="Q79" s="71"/>
      <c r="R79" s="307"/>
      <c r="AH79" s="307"/>
      <c r="AI79" s="340"/>
      <c r="AJ79" s="340"/>
      <c r="AK79" s="340"/>
      <c r="AL79" s="341"/>
      <c r="AM79" s="341"/>
      <c r="AN79" s="341"/>
      <c r="AO79" s="341"/>
      <c r="AP79" s="341"/>
      <c r="AQ79" s="340"/>
      <c r="AR79" s="340"/>
      <c r="AS79" s="319"/>
      <c r="AT79" s="340"/>
      <c r="AU79" s="340"/>
      <c r="AV79" s="340"/>
      <c r="AW79" s="340"/>
      <c r="AX79" s="340"/>
      <c r="AY79" s="340"/>
      <c r="AZ79" s="340"/>
      <c r="BA79" s="340"/>
      <c r="BB79" s="340"/>
    </row>
    <row r="80" spans="1:54" s="210" customFormat="1" ht="15" customHeight="1" x14ac:dyDescent="0.2">
      <c r="A80" s="132"/>
      <c r="B80" s="531"/>
      <c r="C80" s="310"/>
      <c r="D80" s="310"/>
      <c r="E80" s="310"/>
      <c r="F80" s="310"/>
      <c r="G80" s="310"/>
      <c r="H80" s="310"/>
      <c r="I80" s="310"/>
      <c r="J80" s="564"/>
      <c r="K80" s="564"/>
      <c r="L80" s="564"/>
      <c r="M80" s="71"/>
      <c r="N80" s="71"/>
      <c r="O80" s="71"/>
      <c r="P80" s="71"/>
      <c r="Q80" s="71"/>
      <c r="R80" s="310"/>
      <c r="AH80" s="312"/>
      <c r="AI80" s="342"/>
      <c r="AJ80" s="342"/>
      <c r="AK80" s="342"/>
      <c r="AL80" s="342"/>
      <c r="AM80" s="343"/>
      <c r="AN80" s="343"/>
      <c r="AO80" s="343"/>
      <c r="AP80" s="343"/>
      <c r="AQ80" s="343"/>
      <c r="AR80" s="343"/>
      <c r="AS80" s="319"/>
      <c r="AT80" s="343"/>
      <c r="AU80" s="343"/>
      <c r="AV80" s="343"/>
      <c r="AW80" s="343"/>
      <c r="AX80" s="343"/>
      <c r="AY80" s="343"/>
      <c r="AZ80" s="343"/>
      <c r="BA80" s="343"/>
      <c r="BB80" s="343"/>
    </row>
    <row r="81" spans="13:17" x14ac:dyDescent="0.2">
      <c r="M81" s="71"/>
      <c r="N81" s="71"/>
      <c r="O81" s="71"/>
      <c r="P81" s="71"/>
      <c r="Q81" s="71"/>
    </row>
    <row r="82" spans="13:17" x14ac:dyDescent="0.2">
      <c r="M82" s="71"/>
      <c r="N82" s="71"/>
      <c r="O82" s="71"/>
      <c r="P82" s="71"/>
      <c r="Q82" s="71"/>
    </row>
    <row r="83" spans="13:17" x14ac:dyDescent="0.2">
      <c r="M83" s="71"/>
      <c r="N83" s="71"/>
      <c r="O83" s="71"/>
      <c r="P83" s="71"/>
      <c r="Q83" s="71"/>
    </row>
    <row r="84" spans="13:17" x14ac:dyDescent="0.2">
      <c r="M84" s="71"/>
      <c r="N84" s="71"/>
      <c r="O84" s="71"/>
      <c r="P84" s="71"/>
      <c r="Q84" s="71"/>
    </row>
    <row r="85" spans="13:17" x14ac:dyDescent="0.2">
      <c r="M85" s="71"/>
      <c r="N85" s="71"/>
      <c r="O85" s="71"/>
      <c r="P85" s="71"/>
      <c r="Q85" s="71"/>
    </row>
    <row r="86" spans="13:17" x14ac:dyDescent="0.2">
      <c r="M86" s="71"/>
      <c r="N86" s="71"/>
      <c r="O86" s="71"/>
      <c r="P86" s="71"/>
      <c r="Q86" s="71"/>
    </row>
    <row r="87" spans="13:17" x14ac:dyDescent="0.2">
      <c r="M87" s="71"/>
      <c r="N87" s="71"/>
      <c r="O87" s="71"/>
      <c r="P87" s="71"/>
      <c r="Q87" s="71"/>
    </row>
    <row r="88" spans="13:17" x14ac:dyDescent="0.2">
      <c r="M88" s="71"/>
      <c r="N88" s="71"/>
      <c r="O88" s="71"/>
      <c r="P88" s="71"/>
      <c r="Q88" s="71"/>
    </row>
    <row r="89" spans="13:17" x14ac:dyDescent="0.2">
      <c r="M89" s="71"/>
      <c r="N89" s="71"/>
      <c r="O89" s="71"/>
      <c r="P89" s="71"/>
      <c r="Q89" s="71"/>
    </row>
  </sheetData>
  <sheetProtection sheet="1" objects="1" scenarios="1"/>
  <mergeCells count="10">
    <mergeCell ref="F6:I6"/>
    <mergeCell ref="B6:E6"/>
    <mergeCell ref="B8:B9"/>
    <mergeCell ref="M2:Q2"/>
    <mergeCell ref="M4:Q4"/>
    <mergeCell ref="J7:K7"/>
    <mergeCell ref="B7:E7"/>
    <mergeCell ref="F7:G7"/>
    <mergeCell ref="H7:I7"/>
    <mergeCell ref="J6:L6"/>
  </mergeCells>
  <phoneticPr fontId="1" type="noConversion"/>
  <hyperlinks>
    <hyperlink ref="M2" location="Start!R1C1" display="Click here to jump back to start page" xr:uid="{00000000-0004-0000-0A00-000000000000}"/>
    <hyperlink ref="M4:Q4" location="'(Details)'!R1C1" display="Click here to jump to diagrams" xr:uid="{00000000-0004-0000-0A00-000001000000}"/>
  </hyperlinks>
  <pageMargins left="0.15748031496062992" right="0.15748031496062992" top="0.98425196850393704" bottom="0.98425196850393704" header="0.51181102362204722" footer="0.51181102362204722"/>
  <pageSetup paperSize="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0"/>
  </sheetPr>
  <dimension ref="A1"/>
  <sheetViews>
    <sheetView workbookViewId="0">
      <selection sqref="A1:IV65536"/>
    </sheetView>
  </sheetViews>
  <sheetFormatPr defaultRowHeight="12.75" x14ac:dyDescent="0.2"/>
  <cols>
    <col min="1" max="16384" width="9.140625" style="575"/>
  </cols>
  <sheetData/>
  <sheetProtection sheet="1" objects="1" scenarios="1" selectLockedCells="1"/>
  <pageMargins left="0.75" right="0.75" top="1.01" bottom="1"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54"/>
  </sheetPr>
  <dimension ref="A1:O156"/>
  <sheetViews>
    <sheetView workbookViewId="0">
      <selection activeCell="C13" sqref="C13"/>
    </sheetView>
  </sheetViews>
  <sheetFormatPr defaultRowHeight="12.75" x14ac:dyDescent="0.2"/>
  <cols>
    <col min="1" max="1" width="32.140625" style="577" customWidth="1"/>
    <col min="2" max="2" width="13.28515625" style="577" customWidth="1"/>
    <col min="3" max="3" width="18.5703125" style="577" customWidth="1"/>
    <col min="4" max="4" width="15.7109375" style="577" customWidth="1"/>
    <col min="5" max="5" width="16.5703125" style="577" customWidth="1"/>
    <col min="6" max="6" width="21" style="577" customWidth="1"/>
    <col min="7" max="8" width="16.85546875" style="577" customWidth="1"/>
    <col min="9" max="12" width="9.140625" style="577"/>
    <col min="13" max="13" width="34.5703125" style="577" customWidth="1"/>
    <col min="14" max="256" width="9.140625" style="577"/>
    <col min="257" max="257" width="32.140625" style="577" customWidth="1"/>
    <col min="258" max="258" width="13.28515625" style="577" customWidth="1"/>
    <col min="259" max="259" width="18.5703125" style="577" customWidth="1"/>
    <col min="260" max="260" width="15.7109375" style="577" customWidth="1"/>
    <col min="261" max="261" width="16.5703125" style="577" customWidth="1"/>
    <col min="262" max="262" width="21" style="577" customWidth="1"/>
    <col min="263" max="264" width="16.85546875" style="577" customWidth="1"/>
    <col min="265" max="268" width="9.140625" style="577"/>
    <col min="269" max="269" width="34.5703125" style="577" customWidth="1"/>
    <col min="270" max="512" width="9.140625" style="577"/>
    <col min="513" max="513" width="32.140625" style="577" customWidth="1"/>
    <col min="514" max="514" width="13.28515625" style="577" customWidth="1"/>
    <col min="515" max="515" width="18.5703125" style="577" customWidth="1"/>
    <col min="516" max="516" width="15.7109375" style="577" customWidth="1"/>
    <col min="517" max="517" width="16.5703125" style="577" customWidth="1"/>
    <col min="518" max="518" width="21" style="577" customWidth="1"/>
    <col min="519" max="520" width="16.85546875" style="577" customWidth="1"/>
    <col min="521" max="524" width="9.140625" style="577"/>
    <col min="525" max="525" width="34.5703125" style="577" customWidth="1"/>
    <col min="526" max="768" width="9.140625" style="577"/>
    <col min="769" max="769" width="32.140625" style="577" customWidth="1"/>
    <col min="770" max="770" width="13.28515625" style="577" customWidth="1"/>
    <col min="771" max="771" width="18.5703125" style="577" customWidth="1"/>
    <col min="772" max="772" width="15.7109375" style="577" customWidth="1"/>
    <col min="773" max="773" width="16.5703125" style="577" customWidth="1"/>
    <col min="774" max="774" width="21" style="577" customWidth="1"/>
    <col min="775" max="776" width="16.85546875" style="577" customWidth="1"/>
    <col min="777" max="780" width="9.140625" style="577"/>
    <col min="781" max="781" width="34.5703125" style="577" customWidth="1"/>
    <col min="782" max="1024" width="9.140625" style="577"/>
    <col min="1025" max="1025" width="32.140625" style="577" customWidth="1"/>
    <col min="1026" max="1026" width="13.28515625" style="577" customWidth="1"/>
    <col min="1027" max="1027" width="18.5703125" style="577" customWidth="1"/>
    <col min="1028" max="1028" width="15.7109375" style="577" customWidth="1"/>
    <col min="1029" max="1029" width="16.5703125" style="577" customWidth="1"/>
    <col min="1030" max="1030" width="21" style="577" customWidth="1"/>
    <col min="1031" max="1032" width="16.85546875" style="577" customWidth="1"/>
    <col min="1033" max="1036" width="9.140625" style="577"/>
    <col min="1037" max="1037" width="34.5703125" style="577" customWidth="1"/>
    <col min="1038" max="1280" width="9.140625" style="577"/>
    <col min="1281" max="1281" width="32.140625" style="577" customWidth="1"/>
    <col min="1282" max="1282" width="13.28515625" style="577" customWidth="1"/>
    <col min="1283" max="1283" width="18.5703125" style="577" customWidth="1"/>
    <col min="1284" max="1284" width="15.7109375" style="577" customWidth="1"/>
    <col min="1285" max="1285" width="16.5703125" style="577" customWidth="1"/>
    <col min="1286" max="1286" width="21" style="577" customWidth="1"/>
    <col min="1287" max="1288" width="16.85546875" style="577" customWidth="1"/>
    <col min="1289" max="1292" width="9.140625" style="577"/>
    <col min="1293" max="1293" width="34.5703125" style="577" customWidth="1"/>
    <col min="1294" max="1536" width="9.140625" style="577"/>
    <col min="1537" max="1537" width="32.140625" style="577" customWidth="1"/>
    <col min="1538" max="1538" width="13.28515625" style="577" customWidth="1"/>
    <col min="1539" max="1539" width="18.5703125" style="577" customWidth="1"/>
    <col min="1540" max="1540" width="15.7109375" style="577" customWidth="1"/>
    <col min="1541" max="1541" width="16.5703125" style="577" customWidth="1"/>
    <col min="1542" max="1542" width="21" style="577" customWidth="1"/>
    <col min="1543" max="1544" width="16.85546875" style="577" customWidth="1"/>
    <col min="1545" max="1548" width="9.140625" style="577"/>
    <col min="1549" max="1549" width="34.5703125" style="577" customWidth="1"/>
    <col min="1550" max="1792" width="9.140625" style="577"/>
    <col min="1793" max="1793" width="32.140625" style="577" customWidth="1"/>
    <col min="1794" max="1794" width="13.28515625" style="577" customWidth="1"/>
    <col min="1795" max="1795" width="18.5703125" style="577" customWidth="1"/>
    <col min="1796" max="1796" width="15.7109375" style="577" customWidth="1"/>
    <col min="1797" max="1797" width="16.5703125" style="577" customWidth="1"/>
    <col min="1798" max="1798" width="21" style="577" customWidth="1"/>
    <col min="1799" max="1800" width="16.85546875" style="577" customWidth="1"/>
    <col min="1801" max="1804" width="9.140625" style="577"/>
    <col min="1805" max="1805" width="34.5703125" style="577" customWidth="1"/>
    <col min="1806" max="2048" width="9.140625" style="577"/>
    <col min="2049" max="2049" width="32.140625" style="577" customWidth="1"/>
    <col min="2050" max="2050" width="13.28515625" style="577" customWidth="1"/>
    <col min="2051" max="2051" width="18.5703125" style="577" customWidth="1"/>
    <col min="2052" max="2052" width="15.7109375" style="577" customWidth="1"/>
    <col min="2053" max="2053" width="16.5703125" style="577" customWidth="1"/>
    <col min="2054" max="2054" width="21" style="577" customWidth="1"/>
    <col min="2055" max="2056" width="16.85546875" style="577" customWidth="1"/>
    <col min="2057" max="2060" width="9.140625" style="577"/>
    <col min="2061" max="2061" width="34.5703125" style="577" customWidth="1"/>
    <col min="2062" max="2304" width="9.140625" style="577"/>
    <col min="2305" max="2305" width="32.140625" style="577" customWidth="1"/>
    <col min="2306" max="2306" width="13.28515625" style="577" customWidth="1"/>
    <col min="2307" max="2307" width="18.5703125" style="577" customWidth="1"/>
    <col min="2308" max="2308" width="15.7109375" style="577" customWidth="1"/>
    <col min="2309" max="2309" width="16.5703125" style="577" customWidth="1"/>
    <col min="2310" max="2310" width="21" style="577" customWidth="1"/>
    <col min="2311" max="2312" width="16.85546875" style="577" customWidth="1"/>
    <col min="2313" max="2316" width="9.140625" style="577"/>
    <col min="2317" max="2317" width="34.5703125" style="577" customWidth="1"/>
    <col min="2318" max="2560" width="9.140625" style="577"/>
    <col min="2561" max="2561" width="32.140625" style="577" customWidth="1"/>
    <col min="2562" max="2562" width="13.28515625" style="577" customWidth="1"/>
    <col min="2563" max="2563" width="18.5703125" style="577" customWidth="1"/>
    <col min="2564" max="2564" width="15.7109375" style="577" customWidth="1"/>
    <col min="2565" max="2565" width="16.5703125" style="577" customWidth="1"/>
    <col min="2566" max="2566" width="21" style="577" customWidth="1"/>
    <col min="2567" max="2568" width="16.85546875" style="577" customWidth="1"/>
    <col min="2569" max="2572" width="9.140625" style="577"/>
    <col min="2573" max="2573" width="34.5703125" style="577" customWidth="1"/>
    <col min="2574" max="2816" width="9.140625" style="577"/>
    <col min="2817" max="2817" width="32.140625" style="577" customWidth="1"/>
    <col min="2818" max="2818" width="13.28515625" style="577" customWidth="1"/>
    <col min="2819" max="2819" width="18.5703125" style="577" customWidth="1"/>
    <col min="2820" max="2820" width="15.7109375" style="577" customWidth="1"/>
    <col min="2821" max="2821" width="16.5703125" style="577" customWidth="1"/>
    <col min="2822" max="2822" width="21" style="577" customWidth="1"/>
    <col min="2823" max="2824" width="16.85546875" style="577" customWidth="1"/>
    <col min="2825" max="2828" width="9.140625" style="577"/>
    <col min="2829" max="2829" width="34.5703125" style="577" customWidth="1"/>
    <col min="2830" max="3072" width="9.140625" style="577"/>
    <col min="3073" max="3073" width="32.140625" style="577" customWidth="1"/>
    <col min="3074" max="3074" width="13.28515625" style="577" customWidth="1"/>
    <col min="3075" max="3075" width="18.5703125" style="577" customWidth="1"/>
    <col min="3076" max="3076" width="15.7109375" style="577" customWidth="1"/>
    <col min="3077" max="3077" width="16.5703125" style="577" customWidth="1"/>
    <col min="3078" max="3078" width="21" style="577" customWidth="1"/>
    <col min="3079" max="3080" width="16.85546875" style="577" customWidth="1"/>
    <col min="3081" max="3084" width="9.140625" style="577"/>
    <col min="3085" max="3085" width="34.5703125" style="577" customWidth="1"/>
    <col min="3086" max="3328" width="9.140625" style="577"/>
    <col min="3329" max="3329" width="32.140625" style="577" customWidth="1"/>
    <col min="3330" max="3330" width="13.28515625" style="577" customWidth="1"/>
    <col min="3331" max="3331" width="18.5703125" style="577" customWidth="1"/>
    <col min="3332" max="3332" width="15.7109375" style="577" customWidth="1"/>
    <col min="3333" max="3333" width="16.5703125" style="577" customWidth="1"/>
    <col min="3334" max="3334" width="21" style="577" customWidth="1"/>
    <col min="3335" max="3336" width="16.85546875" style="577" customWidth="1"/>
    <col min="3337" max="3340" width="9.140625" style="577"/>
    <col min="3341" max="3341" width="34.5703125" style="577" customWidth="1"/>
    <col min="3342" max="3584" width="9.140625" style="577"/>
    <col min="3585" max="3585" width="32.140625" style="577" customWidth="1"/>
    <col min="3586" max="3586" width="13.28515625" style="577" customWidth="1"/>
    <col min="3587" max="3587" width="18.5703125" style="577" customWidth="1"/>
    <col min="3588" max="3588" width="15.7109375" style="577" customWidth="1"/>
    <col min="3589" max="3589" width="16.5703125" style="577" customWidth="1"/>
    <col min="3590" max="3590" width="21" style="577" customWidth="1"/>
    <col min="3591" max="3592" width="16.85546875" style="577" customWidth="1"/>
    <col min="3593" max="3596" width="9.140625" style="577"/>
    <col min="3597" max="3597" width="34.5703125" style="577" customWidth="1"/>
    <col min="3598" max="3840" width="9.140625" style="577"/>
    <col min="3841" max="3841" width="32.140625" style="577" customWidth="1"/>
    <col min="3842" max="3842" width="13.28515625" style="577" customWidth="1"/>
    <col min="3843" max="3843" width="18.5703125" style="577" customWidth="1"/>
    <col min="3844" max="3844" width="15.7109375" style="577" customWidth="1"/>
    <col min="3845" max="3845" width="16.5703125" style="577" customWidth="1"/>
    <col min="3846" max="3846" width="21" style="577" customWidth="1"/>
    <col min="3847" max="3848" width="16.85546875" style="577" customWidth="1"/>
    <col min="3849" max="3852" width="9.140625" style="577"/>
    <col min="3853" max="3853" width="34.5703125" style="577" customWidth="1"/>
    <col min="3854" max="4096" width="9.140625" style="577"/>
    <col min="4097" max="4097" width="32.140625" style="577" customWidth="1"/>
    <col min="4098" max="4098" width="13.28515625" style="577" customWidth="1"/>
    <col min="4099" max="4099" width="18.5703125" style="577" customWidth="1"/>
    <col min="4100" max="4100" width="15.7109375" style="577" customWidth="1"/>
    <col min="4101" max="4101" width="16.5703125" style="577" customWidth="1"/>
    <col min="4102" max="4102" width="21" style="577" customWidth="1"/>
    <col min="4103" max="4104" width="16.85546875" style="577" customWidth="1"/>
    <col min="4105" max="4108" width="9.140625" style="577"/>
    <col min="4109" max="4109" width="34.5703125" style="577" customWidth="1"/>
    <col min="4110" max="4352" width="9.140625" style="577"/>
    <col min="4353" max="4353" width="32.140625" style="577" customWidth="1"/>
    <col min="4354" max="4354" width="13.28515625" style="577" customWidth="1"/>
    <col min="4355" max="4355" width="18.5703125" style="577" customWidth="1"/>
    <col min="4356" max="4356" width="15.7109375" style="577" customWidth="1"/>
    <col min="4357" max="4357" width="16.5703125" style="577" customWidth="1"/>
    <col min="4358" max="4358" width="21" style="577" customWidth="1"/>
    <col min="4359" max="4360" width="16.85546875" style="577" customWidth="1"/>
    <col min="4361" max="4364" width="9.140625" style="577"/>
    <col min="4365" max="4365" width="34.5703125" style="577" customWidth="1"/>
    <col min="4366" max="4608" width="9.140625" style="577"/>
    <col min="4609" max="4609" width="32.140625" style="577" customWidth="1"/>
    <col min="4610" max="4610" width="13.28515625" style="577" customWidth="1"/>
    <col min="4611" max="4611" width="18.5703125" style="577" customWidth="1"/>
    <col min="4612" max="4612" width="15.7109375" style="577" customWidth="1"/>
    <col min="4613" max="4613" width="16.5703125" style="577" customWidth="1"/>
    <col min="4614" max="4614" width="21" style="577" customWidth="1"/>
    <col min="4615" max="4616" width="16.85546875" style="577" customWidth="1"/>
    <col min="4617" max="4620" width="9.140625" style="577"/>
    <col min="4621" max="4621" width="34.5703125" style="577" customWidth="1"/>
    <col min="4622" max="4864" width="9.140625" style="577"/>
    <col min="4865" max="4865" width="32.140625" style="577" customWidth="1"/>
    <col min="4866" max="4866" width="13.28515625" style="577" customWidth="1"/>
    <col min="4867" max="4867" width="18.5703125" style="577" customWidth="1"/>
    <col min="4868" max="4868" width="15.7109375" style="577" customWidth="1"/>
    <col min="4869" max="4869" width="16.5703125" style="577" customWidth="1"/>
    <col min="4870" max="4870" width="21" style="577" customWidth="1"/>
    <col min="4871" max="4872" width="16.85546875" style="577" customWidth="1"/>
    <col min="4873" max="4876" width="9.140625" style="577"/>
    <col min="4877" max="4877" width="34.5703125" style="577" customWidth="1"/>
    <col min="4878" max="5120" width="9.140625" style="577"/>
    <col min="5121" max="5121" width="32.140625" style="577" customWidth="1"/>
    <col min="5122" max="5122" width="13.28515625" style="577" customWidth="1"/>
    <col min="5123" max="5123" width="18.5703125" style="577" customWidth="1"/>
    <col min="5124" max="5124" width="15.7109375" style="577" customWidth="1"/>
    <col min="5125" max="5125" width="16.5703125" style="577" customWidth="1"/>
    <col min="5126" max="5126" width="21" style="577" customWidth="1"/>
    <col min="5127" max="5128" width="16.85546875" style="577" customWidth="1"/>
    <col min="5129" max="5132" width="9.140625" style="577"/>
    <col min="5133" max="5133" width="34.5703125" style="577" customWidth="1"/>
    <col min="5134" max="5376" width="9.140625" style="577"/>
    <col min="5377" max="5377" width="32.140625" style="577" customWidth="1"/>
    <col min="5378" max="5378" width="13.28515625" style="577" customWidth="1"/>
    <col min="5379" max="5379" width="18.5703125" style="577" customWidth="1"/>
    <col min="5380" max="5380" width="15.7109375" style="577" customWidth="1"/>
    <col min="5381" max="5381" width="16.5703125" style="577" customWidth="1"/>
    <col min="5382" max="5382" width="21" style="577" customWidth="1"/>
    <col min="5383" max="5384" width="16.85546875" style="577" customWidth="1"/>
    <col min="5385" max="5388" width="9.140625" style="577"/>
    <col min="5389" max="5389" width="34.5703125" style="577" customWidth="1"/>
    <col min="5390" max="5632" width="9.140625" style="577"/>
    <col min="5633" max="5633" width="32.140625" style="577" customWidth="1"/>
    <col min="5634" max="5634" width="13.28515625" style="577" customWidth="1"/>
    <col min="5635" max="5635" width="18.5703125" style="577" customWidth="1"/>
    <col min="5636" max="5636" width="15.7109375" style="577" customWidth="1"/>
    <col min="5637" max="5637" width="16.5703125" style="577" customWidth="1"/>
    <col min="5638" max="5638" width="21" style="577" customWidth="1"/>
    <col min="5639" max="5640" width="16.85546875" style="577" customWidth="1"/>
    <col min="5641" max="5644" width="9.140625" style="577"/>
    <col min="5645" max="5645" width="34.5703125" style="577" customWidth="1"/>
    <col min="5646" max="5888" width="9.140625" style="577"/>
    <col min="5889" max="5889" width="32.140625" style="577" customWidth="1"/>
    <col min="5890" max="5890" width="13.28515625" style="577" customWidth="1"/>
    <col min="5891" max="5891" width="18.5703125" style="577" customWidth="1"/>
    <col min="5892" max="5892" width="15.7109375" style="577" customWidth="1"/>
    <col min="5893" max="5893" width="16.5703125" style="577" customWidth="1"/>
    <col min="5894" max="5894" width="21" style="577" customWidth="1"/>
    <col min="5895" max="5896" width="16.85546875" style="577" customWidth="1"/>
    <col min="5897" max="5900" width="9.140625" style="577"/>
    <col min="5901" max="5901" width="34.5703125" style="577" customWidth="1"/>
    <col min="5902" max="6144" width="9.140625" style="577"/>
    <col min="6145" max="6145" width="32.140625" style="577" customWidth="1"/>
    <col min="6146" max="6146" width="13.28515625" style="577" customWidth="1"/>
    <col min="6147" max="6147" width="18.5703125" style="577" customWidth="1"/>
    <col min="6148" max="6148" width="15.7109375" style="577" customWidth="1"/>
    <col min="6149" max="6149" width="16.5703125" style="577" customWidth="1"/>
    <col min="6150" max="6150" width="21" style="577" customWidth="1"/>
    <col min="6151" max="6152" width="16.85546875" style="577" customWidth="1"/>
    <col min="6153" max="6156" width="9.140625" style="577"/>
    <col min="6157" max="6157" width="34.5703125" style="577" customWidth="1"/>
    <col min="6158" max="6400" width="9.140625" style="577"/>
    <col min="6401" max="6401" width="32.140625" style="577" customWidth="1"/>
    <col min="6402" max="6402" width="13.28515625" style="577" customWidth="1"/>
    <col min="6403" max="6403" width="18.5703125" style="577" customWidth="1"/>
    <col min="6404" max="6404" width="15.7109375" style="577" customWidth="1"/>
    <col min="6405" max="6405" width="16.5703125" style="577" customWidth="1"/>
    <col min="6406" max="6406" width="21" style="577" customWidth="1"/>
    <col min="6407" max="6408" width="16.85546875" style="577" customWidth="1"/>
    <col min="6409" max="6412" width="9.140625" style="577"/>
    <col min="6413" max="6413" width="34.5703125" style="577" customWidth="1"/>
    <col min="6414" max="6656" width="9.140625" style="577"/>
    <col min="6657" max="6657" width="32.140625" style="577" customWidth="1"/>
    <col min="6658" max="6658" width="13.28515625" style="577" customWidth="1"/>
    <col min="6659" max="6659" width="18.5703125" style="577" customWidth="1"/>
    <col min="6660" max="6660" width="15.7109375" style="577" customWidth="1"/>
    <col min="6661" max="6661" width="16.5703125" style="577" customWidth="1"/>
    <col min="6662" max="6662" width="21" style="577" customWidth="1"/>
    <col min="6663" max="6664" width="16.85546875" style="577" customWidth="1"/>
    <col min="6665" max="6668" width="9.140625" style="577"/>
    <col min="6669" max="6669" width="34.5703125" style="577" customWidth="1"/>
    <col min="6670" max="6912" width="9.140625" style="577"/>
    <col min="6913" max="6913" width="32.140625" style="577" customWidth="1"/>
    <col min="6914" max="6914" width="13.28515625" style="577" customWidth="1"/>
    <col min="6915" max="6915" width="18.5703125" style="577" customWidth="1"/>
    <col min="6916" max="6916" width="15.7109375" style="577" customWidth="1"/>
    <col min="6917" max="6917" width="16.5703125" style="577" customWidth="1"/>
    <col min="6918" max="6918" width="21" style="577" customWidth="1"/>
    <col min="6919" max="6920" width="16.85546875" style="577" customWidth="1"/>
    <col min="6921" max="6924" width="9.140625" style="577"/>
    <col min="6925" max="6925" width="34.5703125" style="577" customWidth="1"/>
    <col min="6926" max="7168" width="9.140625" style="577"/>
    <col min="7169" max="7169" width="32.140625" style="577" customWidth="1"/>
    <col min="7170" max="7170" width="13.28515625" style="577" customWidth="1"/>
    <col min="7171" max="7171" width="18.5703125" style="577" customWidth="1"/>
    <col min="7172" max="7172" width="15.7109375" style="577" customWidth="1"/>
    <col min="7173" max="7173" width="16.5703125" style="577" customWidth="1"/>
    <col min="7174" max="7174" width="21" style="577" customWidth="1"/>
    <col min="7175" max="7176" width="16.85546875" style="577" customWidth="1"/>
    <col min="7177" max="7180" width="9.140625" style="577"/>
    <col min="7181" max="7181" width="34.5703125" style="577" customWidth="1"/>
    <col min="7182" max="7424" width="9.140625" style="577"/>
    <col min="7425" max="7425" width="32.140625" style="577" customWidth="1"/>
    <col min="7426" max="7426" width="13.28515625" style="577" customWidth="1"/>
    <col min="7427" max="7427" width="18.5703125" style="577" customWidth="1"/>
    <col min="7428" max="7428" width="15.7109375" style="577" customWidth="1"/>
    <col min="7429" max="7429" width="16.5703125" style="577" customWidth="1"/>
    <col min="7430" max="7430" width="21" style="577" customWidth="1"/>
    <col min="7431" max="7432" width="16.85546875" style="577" customWidth="1"/>
    <col min="7433" max="7436" width="9.140625" style="577"/>
    <col min="7437" max="7437" width="34.5703125" style="577" customWidth="1"/>
    <col min="7438" max="7680" width="9.140625" style="577"/>
    <col min="7681" max="7681" width="32.140625" style="577" customWidth="1"/>
    <col min="7682" max="7682" width="13.28515625" style="577" customWidth="1"/>
    <col min="7683" max="7683" width="18.5703125" style="577" customWidth="1"/>
    <col min="7684" max="7684" width="15.7109375" style="577" customWidth="1"/>
    <col min="7685" max="7685" width="16.5703125" style="577" customWidth="1"/>
    <col min="7686" max="7686" width="21" style="577" customWidth="1"/>
    <col min="7687" max="7688" width="16.85546875" style="577" customWidth="1"/>
    <col min="7689" max="7692" width="9.140625" style="577"/>
    <col min="7693" max="7693" width="34.5703125" style="577" customWidth="1"/>
    <col min="7694" max="7936" width="9.140625" style="577"/>
    <col min="7937" max="7937" width="32.140625" style="577" customWidth="1"/>
    <col min="7938" max="7938" width="13.28515625" style="577" customWidth="1"/>
    <col min="7939" max="7939" width="18.5703125" style="577" customWidth="1"/>
    <col min="7940" max="7940" width="15.7109375" style="577" customWidth="1"/>
    <col min="7941" max="7941" width="16.5703125" style="577" customWidth="1"/>
    <col min="7942" max="7942" width="21" style="577" customWidth="1"/>
    <col min="7943" max="7944" width="16.85546875" style="577" customWidth="1"/>
    <col min="7945" max="7948" width="9.140625" style="577"/>
    <col min="7949" max="7949" width="34.5703125" style="577" customWidth="1"/>
    <col min="7950" max="8192" width="9.140625" style="577"/>
    <col min="8193" max="8193" width="32.140625" style="577" customWidth="1"/>
    <col min="8194" max="8194" width="13.28515625" style="577" customWidth="1"/>
    <col min="8195" max="8195" width="18.5703125" style="577" customWidth="1"/>
    <col min="8196" max="8196" width="15.7109375" style="577" customWidth="1"/>
    <col min="8197" max="8197" width="16.5703125" style="577" customWidth="1"/>
    <col min="8198" max="8198" width="21" style="577" customWidth="1"/>
    <col min="8199" max="8200" width="16.85546875" style="577" customWidth="1"/>
    <col min="8201" max="8204" width="9.140625" style="577"/>
    <col min="8205" max="8205" width="34.5703125" style="577" customWidth="1"/>
    <col min="8206" max="8448" width="9.140625" style="577"/>
    <col min="8449" max="8449" width="32.140625" style="577" customWidth="1"/>
    <col min="8450" max="8450" width="13.28515625" style="577" customWidth="1"/>
    <col min="8451" max="8451" width="18.5703125" style="577" customWidth="1"/>
    <col min="8452" max="8452" width="15.7109375" style="577" customWidth="1"/>
    <col min="8453" max="8453" width="16.5703125" style="577" customWidth="1"/>
    <col min="8454" max="8454" width="21" style="577" customWidth="1"/>
    <col min="8455" max="8456" width="16.85546875" style="577" customWidth="1"/>
    <col min="8457" max="8460" width="9.140625" style="577"/>
    <col min="8461" max="8461" width="34.5703125" style="577" customWidth="1"/>
    <col min="8462" max="8704" width="9.140625" style="577"/>
    <col min="8705" max="8705" width="32.140625" style="577" customWidth="1"/>
    <col min="8706" max="8706" width="13.28515625" style="577" customWidth="1"/>
    <col min="8707" max="8707" width="18.5703125" style="577" customWidth="1"/>
    <col min="8708" max="8708" width="15.7109375" style="577" customWidth="1"/>
    <col min="8709" max="8709" width="16.5703125" style="577" customWidth="1"/>
    <col min="8710" max="8710" width="21" style="577" customWidth="1"/>
    <col min="8711" max="8712" width="16.85546875" style="577" customWidth="1"/>
    <col min="8713" max="8716" width="9.140625" style="577"/>
    <col min="8717" max="8717" width="34.5703125" style="577" customWidth="1"/>
    <col min="8718" max="8960" width="9.140625" style="577"/>
    <col min="8961" max="8961" width="32.140625" style="577" customWidth="1"/>
    <col min="8962" max="8962" width="13.28515625" style="577" customWidth="1"/>
    <col min="8963" max="8963" width="18.5703125" style="577" customWidth="1"/>
    <col min="8964" max="8964" width="15.7109375" style="577" customWidth="1"/>
    <col min="8965" max="8965" width="16.5703125" style="577" customWidth="1"/>
    <col min="8966" max="8966" width="21" style="577" customWidth="1"/>
    <col min="8967" max="8968" width="16.85546875" style="577" customWidth="1"/>
    <col min="8969" max="8972" width="9.140625" style="577"/>
    <col min="8973" max="8973" width="34.5703125" style="577" customWidth="1"/>
    <col min="8974" max="9216" width="9.140625" style="577"/>
    <col min="9217" max="9217" width="32.140625" style="577" customWidth="1"/>
    <col min="9218" max="9218" width="13.28515625" style="577" customWidth="1"/>
    <col min="9219" max="9219" width="18.5703125" style="577" customWidth="1"/>
    <col min="9220" max="9220" width="15.7109375" style="577" customWidth="1"/>
    <col min="9221" max="9221" width="16.5703125" style="577" customWidth="1"/>
    <col min="9222" max="9222" width="21" style="577" customWidth="1"/>
    <col min="9223" max="9224" width="16.85546875" style="577" customWidth="1"/>
    <col min="9225" max="9228" width="9.140625" style="577"/>
    <col min="9229" max="9229" width="34.5703125" style="577" customWidth="1"/>
    <col min="9230" max="9472" width="9.140625" style="577"/>
    <col min="9473" max="9473" width="32.140625" style="577" customWidth="1"/>
    <col min="9474" max="9474" width="13.28515625" style="577" customWidth="1"/>
    <col min="9475" max="9475" width="18.5703125" style="577" customWidth="1"/>
    <col min="9476" max="9476" width="15.7109375" style="577" customWidth="1"/>
    <col min="9477" max="9477" width="16.5703125" style="577" customWidth="1"/>
    <col min="9478" max="9478" width="21" style="577" customWidth="1"/>
    <col min="9479" max="9480" width="16.85546875" style="577" customWidth="1"/>
    <col min="9481" max="9484" width="9.140625" style="577"/>
    <col min="9485" max="9485" width="34.5703125" style="577" customWidth="1"/>
    <col min="9486" max="9728" width="9.140625" style="577"/>
    <col min="9729" max="9729" width="32.140625" style="577" customWidth="1"/>
    <col min="9730" max="9730" width="13.28515625" style="577" customWidth="1"/>
    <col min="9731" max="9731" width="18.5703125" style="577" customWidth="1"/>
    <col min="9732" max="9732" width="15.7109375" style="577" customWidth="1"/>
    <col min="9733" max="9733" width="16.5703125" style="577" customWidth="1"/>
    <col min="9734" max="9734" width="21" style="577" customWidth="1"/>
    <col min="9735" max="9736" width="16.85546875" style="577" customWidth="1"/>
    <col min="9737" max="9740" width="9.140625" style="577"/>
    <col min="9741" max="9741" width="34.5703125" style="577" customWidth="1"/>
    <col min="9742" max="9984" width="9.140625" style="577"/>
    <col min="9985" max="9985" width="32.140625" style="577" customWidth="1"/>
    <col min="9986" max="9986" width="13.28515625" style="577" customWidth="1"/>
    <col min="9987" max="9987" width="18.5703125" style="577" customWidth="1"/>
    <col min="9988" max="9988" width="15.7109375" style="577" customWidth="1"/>
    <col min="9989" max="9989" width="16.5703125" style="577" customWidth="1"/>
    <col min="9990" max="9990" width="21" style="577" customWidth="1"/>
    <col min="9991" max="9992" width="16.85546875" style="577" customWidth="1"/>
    <col min="9993" max="9996" width="9.140625" style="577"/>
    <col min="9997" max="9997" width="34.5703125" style="577" customWidth="1"/>
    <col min="9998" max="10240" width="9.140625" style="577"/>
    <col min="10241" max="10241" width="32.140625" style="577" customWidth="1"/>
    <col min="10242" max="10242" width="13.28515625" style="577" customWidth="1"/>
    <col min="10243" max="10243" width="18.5703125" style="577" customWidth="1"/>
    <col min="10244" max="10244" width="15.7109375" style="577" customWidth="1"/>
    <col min="10245" max="10245" width="16.5703125" style="577" customWidth="1"/>
    <col min="10246" max="10246" width="21" style="577" customWidth="1"/>
    <col min="10247" max="10248" width="16.85546875" style="577" customWidth="1"/>
    <col min="10249" max="10252" width="9.140625" style="577"/>
    <col min="10253" max="10253" width="34.5703125" style="577" customWidth="1"/>
    <col min="10254" max="10496" width="9.140625" style="577"/>
    <col min="10497" max="10497" width="32.140625" style="577" customWidth="1"/>
    <col min="10498" max="10498" width="13.28515625" style="577" customWidth="1"/>
    <col min="10499" max="10499" width="18.5703125" style="577" customWidth="1"/>
    <col min="10500" max="10500" width="15.7109375" style="577" customWidth="1"/>
    <col min="10501" max="10501" width="16.5703125" style="577" customWidth="1"/>
    <col min="10502" max="10502" width="21" style="577" customWidth="1"/>
    <col min="10503" max="10504" width="16.85546875" style="577" customWidth="1"/>
    <col min="10505" max="10508" width="9.140625" style="577"/>
    <col min="10509" max="10509" width="34.5703125" style="577" customWidth="1"/>
    <col min="10510" max="10752" width="9.140625" style="577"/>
    <col min="10753" max="10753" width="32.140625" style="577" customWidth="1"/>
    <col min="10754" max="10754" width="13.28515625" style="577" customWidth="1"/>
    <col min="10755" max="10755" width="18.5703125" style="577" customWidth="1"/>
    <col min="10756" max="10756" width="15.7109375" style="577" customWidth="1"/>
    <col min="10757" max="10757" width="16.5703125" style="577" customWidth="1"/>
    <col min="10758" max="10758" width="21" style="577" customWidth="1"/>
    <col min="10759" max="10760" width="16.85546875" style="577" customWidth="1"/>
    <col min="10761" max="10764" width="9.140625" style="577"/>
    <col min="10765" max="10765" width="34.5703125" style="577" customWidth="1"/>
    <col min="10766" max="11008" width="9.140625" style="577"/>
    <col min="11009" max="11009" width="32.140625" style="577" customWidth="1"/>
    <col min="11010" max="11010" width="13.28515625" style="577" customWidth="1"/>
    <col min="11011" max="11011" width="18.5703125" style="577" customWidth="1"/>
    <col min="11012" max="11012" width="15.7109375" style="577" customWidth="1"/>
    <col min="11013" max="11013" width="16.5703125" style="577" customWidth="1"/>
    <col min="11014" max="11014" width="21" style="577" customWidth="1"/>
    <col min="11015" max="11016" width="16.85546875" style="577" customWidth="1"/>
    <col min="11017" max="11020" width="9.140625" style="577"/>
    <col min="11021" max="11021" width="34.5703125" style="577" customWidth="1"/>
    <col min="11022" max="11264" width="9.140625" style="577"/>
    <col min="11265" max="11265" width="32.140625" style="577" customWidth="1"/>
    <col min="11266" max="11266" width="13.28515625" style="577" customWidth="1"/>
    <col min="11267" max="11267" width="18.5703125" style="577" customWidth="1"/>
    <col min="11268" max="11268" width="15.7109375" style="577" customWidth="1"/>
    <col min="11269" max="11269" width="16.5703125" style="577" customWidth="1"/>
    <col min="11270" max="11270" width="21" style="577" customWidth="1"/>
    <col min="11271" max="11272" width="16.85546875" style="577" customWidth="1"/>
    <col min="11273" max="11276" width="9.140625" style="577"/>
    <col min="11277" max="11277" width="34.5703125" style="577" customWidth="1"/>
    <col min="11278" max="11520" width="9.140625" style="577"/>
    <col min="11521" max="11521" width="32.140625" style="577" customWidth="1"/>
    <col min="11522" max="11522" width="13.28515625" style="577" customWidth="1"/>
    <col min="11523" max="11523" width="18.5703125" style="577" customWidth="1"/>
    <col min="11524" max="11524" width="15.7109375" style="577" customWidth="1"/>
    <col min="11525" max="11525" width="16.5703125" style="577" customWidth="1"/>
    <col min="11526" max="11526" width="21" style="577" customWidth="1"/>
    <col min="11527" max="11528" width="16.85546875" style="577" customWidth="1"/>
    <col min="11529" max="11532" width="9.140625" style="577"/>
    <col min="11533" max="11533" width="34.5703125" style="577" customWidth="1"/>
    <col min="11534" max="11776" width="9.140625" style="577"/>
    <col min="11777" max="11777" width="32.140625" style="577" customWidth="1"/>
    <col min="11778" max="11778" width="13.28515625" style="577" customWidth="1"/>
    <col min="11779" max="11779" width="18.5703125" style="577" customWidth="1"/>
    <col min="11780" max="11780" width="15.7109375" style="577" customWidth="1"/>
    <col min="11781" max="11781" width="16.5703125" style="577" customWidth="1"/>
    <col min="11782" max="11782" width="21" style="577" customWidth="1"/>
    <col min="11783" max="11784" width="16.85546875" style="577" customWidth="1"/>
    <col min="11785" max="11788" width="9.140625" style="577"/>
    <col min="11789" max="11789" width="34.5703125" style="577" customWidth="1"/>
    <col min="11790" max="12032" width="9.140625" style="577"/>
    <col min="12033" max="12033" width="32.140625" style="577" customWidth="1"/>
    <col min="12034" max="12034" width="13.28515625" style="577" customWidth="1"/>
    <col min="12035" max="12035" width="18.5703125" style="577" customWidth="1"/>
    <col min="12036" max="12036" width="15.7109375" style="577" customWidth="1"/>
    <col min="12037" max="12037" width="16.5703125" style="577" customWidth="1"/>
    <col min="12038" max="12038" width="21" style="577" customWidth="1"/>
    <col min="12039" max="12040" width="16.85546875" style="577" customWidth="1"/>
    <col min="12041" max="12044" width="9.140625" style="577"/>
    <col min="12045" max="12045" width="34.5703125" style="577" customWidth="1"/>
    <col min="12046" max="12288" width="9.140625" style="577"/>
    <col min="12289" max="12289" width="32.140625" style="577" customWidth="1"/>
    <col min="12290" max="12290" width="13.28515625" style="577" customWidth="1"/>
    <col min="12291" max="12291" width="18.5703125" style="577" customWidth="1"/>
    <col min="12292" max="12292" width="15.7109375" style="577" customWidth="1"/>
    <col min="12293" max="12293" width="16.5703125" style="577" customWidth="1"/>
    <col min="12294" max="12294" width="21" style="577" customWidth="1"/>
    <col min="12295" max="12296" width="16.85546875" style="577" customWidth="1"/>
    <col min="12297" max="12300" width="9.140625" style="577"/>
    <col min="12301" max="12301" width="34.5703125" style="577" customWidth="1"/>
    <col min="12302" max="12544" width="9.140625" style="577"/>
    <col min="12545" max="12545" width="32.140625" style="577" customWidth="1"/>
    <col min="12546" max="12546" width="13.28515625" style="577" customWidth="1"/>
    <col min="12547" max="12547" width="18.5703125" style="577" customWidth="1"/>
    <col min="12548" max="12548" width="15.7109375" style="577" customWidth="1"/>
    <col min="12549" max="12549" width="16.5703125" style="577" customWidth="1"/>
    <col min="12550" max="12550" width="21" style="577" customWidth="1"/>
    <col min="12551" max="12552" width="16.85546875" style="577" customWidth="1"/>
    <col min="12553" max="12556" width="9.140625" style="577"/>
    <col min="12557" max="12557" width="34.5703125" style="577" customWidth="1"/>
    <col min="12558" max="12800" width="9.140625" style="577"/>
    <col min="12801" max="12801" width="32.140625" style="577" customWidth="1"/>
    <col min="12802" max="12802" width="13.28515625" style="577" customWidth="1"/>
    <col min="12803" max="12803" width="18.5703125" style="577" customWidth="1"/>
    <col min="12804" max="12804" width="15.7109375" style="577" customWidth="1"/>
    <col min="12805" max="12805" width="16.5703125" style="577" customWidth="1"/>
    <col min="12806" max="12806" width="21" style="577" customWidth="1"/>
    <col min="12807" max="12808" width="16.85546875" style="577" customWidth="1"/>
    <col min="12809" max="12812" width="9.140625" style="577"/>
    <col min="12813" max="12813" width="34.5703125" style="577" customWidth="1"/>
    <col min="12814" max="13056" width="9.140625" style="577"/>
    <col min="13057" max="13057" width="32.140625" style="577" customWidth="1"/>
    <col min="13058" max="13058" width="13.28515625" style="577" customWidth="1"/>
    <col min="13059" max="13059" width="18.5703125" style="577" customWidth="1"/>
    <col min="13060" max="13060" width="15.7109375" style="577" customWidth="1"/>
    <col min="13061" max="13061" width="16.5703125" style="577" customWidth="1"/>
    <col min="13062" max="13062" width="21" style="577" customWidth="1"/>
    <col min="13063" max="13064" width="16.85546875" style="577" customWidth="1"/>
    <col min="13065" max="13068" width="9.140625" style="577"/>
    <col min="13069" max="13069" width="34.5703125" style="577" customWidth="1"/>
    <col min="13070" max="13312" width="9.140625" style="577"/>
    <col min="13313" max="13313" width="32.140625" style="577" customWidth="1"/>
    <col min="13314" max="13314" width="13.28515625" style="577" customWidth="1"/>
    <col min="13315" max="13315" width="18.5703125" style="577" customWidth="1"/>
    <col min="13316" max="13316" width="15.7109375" style="577" customWidth="1"/>
    <col min="13317" max="13317" width="16.5703125" style="577" customWidth="1"/>
    <col min="13318" max="13318" width="21" style="577" customWidth="1"/>
    <col min="13319" max="13320" width="16.85546875" style="577" customWidth="1"/>
    <col min="13321" max="13324" width="9.140625" style="577"/>
    <col min="13325" max="13325" width="34.5703125" style="577" customWidth="1"/>
    <col min="13326" max="13568" width="9.140625" style="577"/>
    <col min="13569" max="13569" width="32.140625" style="577" customWidth="1"/>
    <col min="13570" max="13570" width="13.28515625" style="577" customWidth="1"/>
    <col min="13571" max="13571" width="18.5703125" style="577" customWidth="1"/>
    <col min="13572" max="13572" width="15.7109375" style="577" customWidth="1"/>
    <col min="13573" max="13573" width="16.5703125" style="577" customWidth="1"/>
    <col min="13574" max="13574" width="21" style="577" customWidth="1"/>
    <col min="13575" max="13576" width="16.85546875" style="577" customWidth="1"/>
    <col min="13577" max="13580" width="9.140625" style="577"/>
    <col min="13581" max="13581" width="34.5703125" style="577" customWidth="1"/>
    <col min="13582" max="13824" width="9.140625" style="577"/>
    <col min="13825" max="13825" width="32.140625" style="577" customWidth="1"/>
    <col min="13826" max="13826" width="13.28515625" style="577" customWidth="1"/>
    <col min="13827" max="13827" width="18.5703125" style="577" customWidth="1"/>
    <col min="13828" max="13828" width="15.7109375" style="577" customWidth="1"/>
    <col min="13829" max="13829" width="16.5703125" style="577" customWidth="1"/>
    <col min="13830" max="13830" width="21" style="577" customWidth="1"/>
    <col min="13831" max="13832" width="16.85546875" style="577" customWidth="1"/>
    <col min="13833" max="13836" width="9.140625" style="577"/>
    <col min="13837" max="13837" width="34.5703125" style="577" customWidth="1"/>
    <col min="13838" max="14080" width="9.140625" style="577"/>
    <col min="14081" max="14081" width="32.140625" style="577" customWidth="1"/>
    <col min="14082" max="14082" width="13.28515625" style="577" customWidth="1"/>
    <col min="14083" max="14083" width="18.5703125" style="577" customWidth="1"/>
    <col min="14084" max="14084" width="15.7109375" style="577" customWidth="1"/>
    <col min="14085" max="14085" width="16.5703125" style="577" customWidth="1"/>
    <col min="14086" max="14086" width="21" style="577" customWidth="1"/>
    <col min="14087" max="14088" width="16.85546875" style="577" customWidth="1"/>
    <col min="14089" max="14092" width="9.140625" style="577"/>
    <col min="14093" max="14093" width="34.5703125" style="577" customWidth="1"/>
    <col min="14094" max="14336" width="9.140625" style="577"/>
    <col min="14337" max="14337" width="32.140625" style="577" customWidth="1"/>
    <col min="14338" max="14338" width="13.28515625" style="577" customWidth="1"/>
    <col min="14339" max="14339" width="18.5703125" style="577" customWidth="1"/>
    <col min="14340" max="14340" width="15.7109375" style="577" customWidth="1"/>
    <col min="14341" max="14341" width="16.5703125" style="577" customWidth="1"/>
    <col min="14342" max="14342" width="21" style="577" customWidth="1"/>
    <col min="14343" max="14344" width="16.85546875" style="577" customWidth="1"/>
    <col min="14345" max="14348" width="9.140625" style="577"/>
    <col min="14349" max="14349" width="34.5703125" style="577" customWidth="1"/>
    <col min="14350" max="14592" width="9.140625" style="577"/>
    <col min="14593" max="14593" width="32.140625" style="577" customWidth="1"/>
    <col min="14594" max="14594" width="13.28515625" style="577" customWidth="1"/>
    <col min="14595" max="14595" width="18.5703125" style="577" customWidth="1"/>
    <col min="14596" max="14596" width="15.7109375" style="577" customWidth="1"/>
    <col min="14597" max="14597" width="16.5703125" style="577" customWidth="1"/>
    <col min="14598" max="14598" width="21" style="577" customWidth="1"/>
    <col min="14599" max="14600" width="16.85546875" style="577" customWidth="1"/>
    <col min="14601" max="14604" width="9.140625" style="577"/>
    <col min="14605" max="14605" width="34.5703125" style="577" customWidth="1"/>
    <col min="14606" max="14848" width="9.140625" style="577"/>
    <col min="14849" max="14849" width="32.140625" style="577" customWidth="1"/>
    <col min="14850" max="14850" width="13.28515625" style="577" customWidth="1"/>
    <col min="14851" max="14851" width="18.5703125" style="577" customWidth="1"/>
    <col min="14852" max="14852" width="15.7109375" style="577" customWidth="1"/>
    <col min="14853" max="14853" width="16.5703125" style="577" customWidth="1"/>
    <col min="14854" max="14854" width="21" style="577" customWidth="1"/>
    <col min="14855" max="14856" width="16.85546875" style="577" customWidth="1"/>
    <col min="14857" max="14860" width="9.140625" style="577"/>
    <col min="14861" max="14861" width="34.5703125" style="577" customWidth="1"/>
    <col min="14862" max="15104" width="9.140625" style="577"/>
    <col min="15105" max="15105" width="32.140625" style="577" customWidth="1"/>
    <col min="15106" max="15106" width="13.28515625" style="577" customWidth="1"/>
    <col min="15107" max="15107" width="18.5703125" style="577" customWidth="1"/>
    <col min="15108" max="15108" width="15.7109375" style="577" customWidth="1"/>
    <col min="15109" max="15109" width="16.5703125" style="577" customWidth="1"/>
    <col min="15110" max="15110" width="21" style="577" customWidth="1"/>
    <col min="15111" max="15112" width="16.85546875" style="577" customWidth="1"/>
    <col min="15113" max="15116" width="9.140625" style="577"/>
    <col min="15117" max="15117" width="34.5703125" style="577" customWidth="1"/>
    <col min="15118" max="15360" width="9.140625" style="577"/>
    <col min="15361" max="15361" width="32.140625" style="577" customWidth="1"/>
    <col min="15362" max="15362" width="13.28515625" style="577" customWidth="1"/>
    <col min="15363" max="15363" width="18.5703125" style="577" customWidth="1"/>
    <col min="15364" max="15364" width="15.7109375" style="577" customWidth="1"/>
    <col min="15365" max="15365" width="16.5703125" style="577" customWidth="1"/>
    <col min="15366" max="15366" width="21" style="577" customWidth="1"/>
    <col min="15367" max="15368" width="16.85546875" style="577" customWidth="1"/>
    <col min="15369" max="15372" width="9.140625" style="577"/>
    <col min="15373" max="15373" width="34.5703125" style="577" customWidth="1"/>
    <col min="15374" max="15616" width="9.140625" style="577"/>
    <col min="15617" max="15617" width="32.140625" style="577" customWidth="1"/>
    <col min="15618" max="15618" width="13.28515625" style="577" customWidth="1"/>
    <col min="15619" max="15619" width="18.5703125" style="577" customWidth="1"/>
    <col min="15620" max="15620" width="15.7109375" style="577" customWidth="1"/>
    <col min="15621" max="15621" width="16.5703125" style="577" customWidth="1"/>
    <col min="15622" max="15622" width="21" style="577" customWidth="1"/>
    <col min="15623" max="15624" width="16.85546875" style="577" customWidth="1"/>
    <col min="15625" max="15628" width="9.140625" style="577"/>
    <col min="15629" max="15629" width="34.5703125" style="577" customWidth="1"/>
    <col min="15630" max="15872" width="9.140625" style="577"/>
    <col min="15873" max="15873" width="32.140625" style="577" customWidth="1"/>
    <col min="15874" max="15874" width="13.28515625" style="577" customWidth="1"/>
    <col min="15875" max="15875" width="18.5703125" style="577" customWidth="1"/>
    <col min="15876" max="15876" width="15.7109375" style="577" customWidth="1"/>
    <col min="15877" max="15877" width="16.5703125" style="577" customWidth="1"/>
    <col min="15878" max="15878" width="21" style="577" customWidth="1"/>
    <col min="15879" max="15880" width="16.85546875" style="577" customWidth="1"/>
    <col min="15881" max="15884" width="9.140625" style="577"/>
    <col min="15885" max="15885" width="34.5703125" style="577" customWidth="1"/>
    <col min="15886" max="16128" width="9.140625" style="577"/>
    <col min="16129" max="16129" width="32.140625" style="577" customWidth="1"/>
    <col min="16130" max="16130" width="13.28515625" style="577" customWidth="1"/>
    <col min="16131" max="16131" width="18.5703125" style="577" customWidth="1"/>
    <col min="16132" max="16132" width="15.7109375" style="577" customWidth="1"/>
    <col min="16133" max="16133" width="16.5703125" style="577" customWidth="1"/>
    <col min="16134" max="16134" width="21" style="577" customWidth="1"/>
    <col min="16135" max="16136" width="16.85546875" style="577" customWidth="1"/>
    <col min="16137" max="16140" width="9.140625" style="577"/>
    <col min="16141" max="16141" width="34.5703125" style="577" customWidth="1"/>
    <col min="16142" max="16384" width="9.140625" style="577"/>
  </cols>
  <sheetData>
    <row r="1" spans="1:15" x14ac:dyDescent="0.2">
      <c r="A1" s="576" t="s">
        <v>352</v>
      </c>
    </row>
    <row r="3" spans="1:15" ht="13.5" thickBot="1" x14ac:dyDescent="0.25">
      <c r="A3" s="578" t="s">
        <v>353</v>
      </c>
      <c r="B3" s="579"/>
      <c r="C3" s="579"/>
      <c r="D3" s="579"/>
      <c r="E3" s="579"/>
      <c r="F3" s="579"/>
      <c r="G3" s="579"/>
      <c r="H3" s="579"/>
    </row>
    <row r="4" spans="1:15" x14ac:dyDescent="0.2">
      <c r="A4" s="580"/>
      <c r="B4" s="581"/>
      <c r="C4" s="582" t="s">
        <v>354</v>
      </c>
      <c r="D4" s="582" t="s">
        <v>355</v>
      </c>
      <c r="E4" s="580"/>
      <c r="F4" s="583"/>
      <c r="G4" s="583"/>
      <c r="H4" s="581"/>
    </row>
    <row r="5" spans="1:15" ht="13.5" thickBot="1" x14ac:dyDescent="0.25">
      <c r="A5" s="584"/>
      <c r="B5" s="585"/>
      <c r="C5" s="586" t="s">
        <v>356</v>
      </c>
      <c r="D5" s="586" t="s">
        <v>357</v>
      </c>
      <c r="E5" s="587"/>
      <c r="F5" s="588"/>
      <c r="G5" s="588"/>
      <c r="H5" s="589"/>
    </row>
    <row r="6" spans="1:15" ht="26.25" thickBot="1" x14ac:dyDescent="0.25">
      <c r="A6" s="590"/>
      <c r="B6" s="591"/>
      <c r="C6" s="592">
        <v>4.8000000000000001E-4</v>
      </c>
      <c r="D6" s="593">
        <f>C6*0.2777777778</f>
        <v>1.3333333334400002E-4</v>
      </c>
      <c r="E6" s="594" t="s">
        <v>358</v>
      </c>
      <c r="F6" s="594" t="s">
        <v>359</v>
      </c>
      <c r="G6" s="595" t="s">
        <v>360</v>
      </c>
      <c r="H6" s="595" t="s">
        <v>361</v>
      </c>
    </row>
    <row r="7" spans="1:15" ht="13.5" thickBot="1" x14ac:dyDescent="0.25">
      <c r="A7" s="596" t="s">
        <v>362</v>
      </c>
      <c r="B7" s="597"/>
      <c r="C7" s="597"/>
      <c r="D7" s="598"/>
      <c r="E7" s="599"/>
      <c r="F7" s="600"/>
      <c r="G7" s="601">
        <f>C6*E7</f>
        <v>0</v>
      </c>
      <c r="H7" s="601">
        <f>D6*F7</f>
        <v>0</v>
      </c>
      <c r="M7" s="576"/>
    </row>
    <row r="8" spans="1:15" x14ac:dyDescent="0.2">
      <c r="A8" s="602" t="s">
        <v>363</v>
      </c>
      <c r="B8" s="603"/>
      <c r="C8" s="603"/>
      <c r="D8" s="603"/>
      <c r="E8" s="603"/>
      <c r="M8" s="576"/>
      <c r="N8" s="576"/>
      <c r="O8" s="576"/>
    </row>
    <row r="9" spans="1:15" x14ac:dyDescent="0.2">
      <c r="A9" s="602"/>
      <c r="B9" s="603"/>
      <c r="C9" s="603"/>
      <c r="D9" s="603"/>
      <c r="E9" s="603"/>
      <c r="M9" s="576"/>
      <c r="N9" s="576"/>
      <c r="O9" s="576"/>
    </row>
    <row r="10" spans="1:15" ht="13.5" thickBot="1" x14ac:dyDescent="0.25">
      <c r="A10" s="604" t="s">
        <v>364</v>
      </c>
      <c r="B10" s="605"/>
      <c r="C10" s="605"/>
      <c r="D10" s="605"/>
      <c r="E10" s="605"/>
      <c r="F10" s="606"/>
      <c r="M10" s="576"/>
      <c r="N10" s="576"/>
      <c r="O10" s="576"/>
    </row>
    <row r="11" spans="1:15" x14ac:dyDescent="0.2">
      <c r="B11" s="582" t="s">
        <v>365</v>
      </c>
      <c r="C11" s="582" t="s">
        <v>366</v>
      </c>
      <c r="D11" s="582" t="s">
        <v>355</v>
      </c>
      <c r="E11" s="582" t="s">
        <v>367</v>
      </c>
      <c r="F11" s="582" t="s">
        <v>368</v>
      </c>
      <c r="M11" s="576"/>
      <c r="N11" s="576"/>
      <c r="O11" s="576"/>
    </row>
    <row r="12" spans="1:15" ht="13.5" thickBot="1" x14ac:dyDescent="0.25">
      <c r="A12" s="607"/>
      <c r="B12" s="586"/>
      <c r="C12" s="586"/>
      <c r="D12" s="608" t="s">
        <v>369</v>
      </c>
      <c r="E12" s="586"/>
      <c r="F12" s="586"/>
      <c r="M12" s="576"/>
      <c r="N12" s="576"/>
      <c r="O12" s="576"/>
    </row>
    <row r="13" spans="1:15" ht="13.5" thickBot="1" x14ac:dyDescent="0.25">
      <c r="A13" s="609" t="s">
        <v>370</v>
      </c>
      <c r="B13" s="610"/>
      <c r="C13" s="610"/>
      <c r="D13" s="611"/>
      <c r="E13" s="612"/>
      <c r="F13" s="613">
        <f>D13*E13</f>
        <v>0</v>
      </c>
      <c r="M13" s="576"/>
      <c r="N13" s="576"/>
      <c r="O13" s="576"/>
    </row>
    <row r="14" spans="1:15" ht="13.5" thickBot="1" x14ac:dyDescent="0.25">
      <c r="A14" s="609" t="s">
        <v>371</v>
      </c>
      <c r="B14" s="614"/>
      <c r="C14" s="614"/>
      <c r="D14" s="615"/>
      <c r="E14" s="616"/>
      <c r="F14" s="613">
        <f>D14*E14</f>
        <v>0</v>
      </c>
      <c r="M14" s="576"/>
      <c r="N14" s="576"/>
      <c r="O14" s="576"/>
    </row>
    <row r="15" spans="1:15" ht="13.5" thickBot="1" x14ac:dyDescent="0.25">
      <c r="A15" s="617" t="s">
        <v>372</v>
      </c>
      <c r="B15" s="597"/>
      <c r="C15" s="597"/>
      <c r="D15" s="597"/>
      <c r="E15" s="597"/>
      <c r="F15" s="618">
        <f>SUM(F13:F14)</f>
        <v>0</v>
      </c>
      <c r="M15" s="576"/>
      <c r="N15" s="576"/>
      <c r="O15" s="576"/>
    </row>
    <row r="16" spans="1:15" x14ac:dyDescent="0.2">
      <c r="A16" s="619" t="s">
        <v>373</v>
      </c>
      <c r="B16" s="620"/>
      <c r="C16" s="620"/>
      <c r="D16" s="620"/>
      <c r="E16" s="620"/>
      <c r="F16" s="621"/>
      <c r="M16" s="576"/>
      <c r="N16" s="576"/>
      <c r="O16" s="576"/>
    </row>
    <row r="17" spans="1:15" x14ac:dyDescent="0.2">
      <c r="A17" s="607"/>
      <c r="M17" s="576"/>
      <c r="N17" s="576"/>
      <c r="O17" s="576"/>
    </row>
    <row r="18" spans="1:15" ht="13.5" thickBot="1" x14ac:dyDescent="0.25">
      <c r="A18" s="622" t="s">
        <v>374</v>
      </c>
      <c r="B18" s="623"/>
      <c r="C18" s="624"/>
      <c r="D18" s="624"/>
      <c r="E18" s="624"/>
      <c r="F18" s="625"/>
      <c r="M18" s="576"/>
      <c r="N18" s="576"/>
      <c r="O18" s="576"/>
    </row>
    <row r="19" spans="1:15" x14ac:dyDescent="0.2">
      <c r="C19" s="626" t="s">
        <v>366</v>
      </c>
      <c r="D19" s="582" t="s">
        <v>355</v>
      </c>
      <c r="E19" s="626" t="s">
        <v>375</v>
      </c>
      <c r="F19" s="626" t="s">
        <v>376</v>
      </c>
      <c r="M19" s="576"/>
      <c r="N19" s="576"/>
      <c r="O19" s="576"/>
    </row>
    <row r="20" spans="1:15" ht="13.5" thickBot="1" x14ac:dyDescent="0.25">
      <c r="A20" s="607"/>
      <c r="C20" s="627"/>
      <c r="D20" s="586" t="s">
        <v>369</v>
      </c>
      <c r="E20" s="627"/>
      <c r="F20" s="627"/>
      <c r="M20" s="576"/>
      <c r="N20" s="576"/>
      <c r="O20" s="576"/>
    </row>
    <row r="21" spans="1:15" ht="13.5" thickBot="1" x14ac:dyDescent="0.25">
      <c r="A21" s="607"/>
      <c r="C21" s="614"/>
      <c r="D21" s="615"/>
      <c r="E21" s="616"/>
      <c r="F21" s="613">
        <f>D21*E21</f>
        <v>0</v>
      </c>
      <c r="M21" s="576"/>
      <c r="N21" s="576"/>
      <c r="O21" s="576"/>
    </row>
    <row r="22" spans="1:15" ht="13.5" thickBot="1" x14ac:dyDescent="0.25">
      <c r="A22" s="617" t="s">
        <v>377</v>
      </c>
      <c r="B22" s="628"/>
      <c r="C22" s="628"/>
      <c r="D22" s="628"/>
      <c r="E22" s="629"/>
      <c r="F22" s="601">
        <f>F21</f>
        <v>0</v>
      </c>
      <c r="M22" s="576"/>
      <c r="N22" s="576"/>
      <c r="O22" s="576"/>
    </row>
    <row r="23" spans="1:15" x14ac:dyDescent="0.2">
      <c r="A23" s="619" t="s">
        <v>378</v>
      </c>
      <c r="B23" s="630"/>
      <c r="C23" s="630"/>
      <c r="D23" s="630"/>
      <c r="E23" s="630"/>
      <c r="F23" s="621"/>
      <c r="M23" s="576"/>
      <c r="N23" s="576"/>
      <c r="O23" s="576"/>
    </row>
    <row r="24" spans="1:15" x14ac:dyDescent="0.2">
      <c r="N24" s="607"/>
    </row>
    <row r="25" spans="1:15" ht="13.5" thickBot="1" x14ac:dyDescent="0.25">
      <c r="A25" s="578" t="s">
        <v>379</v>
      </c>
      <c r="B25" s="606"/>
      <c r="C25" s="606"/>
      <c r="D25" s="606"/>
      <c r="E25" s="606"/>
      <c r="F25" s="606"/>
      <c r="G25" s="606"/>
      <c r="H25" s="606"/>
      <c r="N25" s="607"/>
    </row>
    <row r="26" spans="1:15" x14ac:dyDescent="0.2">
      <c r="B26" s="582" t="s">
        <v>355</v>
      </c>
      <c r="C26" s="582" t="s">
        <v>355</v>
      </c>
      <c r="D26" s="582" t="s">
        <v>355</v>
      </c>
      <c r="E26" s="626"/>
      <c r="F26" s="626"/>
      <c r="G26" s="626"/>
      <c r="H26" s="626"/>
      <c r="N26" s="607"/>
    </row>
    <row r="27" spans="1:15" ht="13.5" thickBot="1" x14ac:dyDescent="0.25">
      <c r="A27" s="631"/>
      <c r="B27" s="632" t="s">
        <v>380</v>
      </c>
      <c r="C27" s="608" t="s">
        <v>356</v>
      </c>
      <c r="D27" s="608" t="s">
        <v>357</v>
      </c>
      <c r="E27" s="608" t="s">
        <v>358</v>
      </c>
      <c r="F27" s="608" t="s">
        <v>381</v>
      </c>
      <c r="G27" s="608" t="s">
        <v>382</v>
      </c>
      <c r="H27" s="608" t="s">
        <v>383</v>
      </c>
      <c r="N27" s="607"/>
    </row>
    <row r="28" spans="1:15" ht="13.5" thickBot="1" x14ac:dyDescent="0.25">
      <c r="A28" s="596" t="s">
        <v>384</v>
      </c>
      <c r="B28" s="597"/>
      <c r="C28" s="633"/>
      <c r="D28" s="633"/>
      <c r="E28" s="633"/>
      <c r="F28" s="597"/>
      <c r="G28" s="597"/>
      <c r="H28" s="598"/>
      <c r="N28" s="607"/>
    </row>
    <row r="29" spans="1:15" ht="13.5" thickBot="1" x14ac:dyDescent="0.25">
      <c r="A29" s="613" t="s">
        <v>385</v>
      </c>
      <c r="B29" s="634">
        <v>61.6</v>
      </c>
      <c r="C29" s="635">
        <f t="shared" ref="C29:C36" si="0">B29/277800</f>
        <v>2.2174226061915048E-4</v>
      </c>
      <c r="D29" s="593">
        <f>B29/1000000</f>
        <v>6.1600000000000007E-5</v>
      </c>
      <c r="E29" s="636"/>
      <c r="F29" s="637"/>
      <c r="G29" s="613">
        <f t="shared" ref="G29:H37" si="1">C29*E29</f>
        <v>0</v>
      </c>
      <c r="H29" s="613">
        <f t="shared" si="1"/>
        <v>0</v>
      </c>
      <c r="N29" s="607"/>
    </row>
    <row r="30" spans="1:15" ht="13.5" thickBot="1" x14ac:dyDescent="0.25">
      <c r="A30" s="638" t="s">
        <v>386</v>
      </c>
      <c r="B30" s="634">
        <v>63.07</v>
      </c>
      <c r="C30" s="635">
        <f t="shared" si="0"/>
        <v>2.2703383729301657E-4</v>
      </c>
      <c r="D30" s="593">
        <f t="shared" ref="D30:D53" si="2">B30/1000000</f>
        <v>6.3070000000000004E-5</v>
      </c>
      <c r="E30" s="636"/>
      <c r="F30" s="637"/>
      <c r="G30" s="613">
        <f t="shared" si="1"/>
        <v>0</v>
      </c>
      <c r="H30" s="613">
        <f t="shared" si="1"/>
        <v>0</v>
      </c>
      <c r="N30" s="607"/>
    </row>
    <row r="31" spans="1:15" ht="13.5" thickBot="1" x14ac:dyDescent="0.25">
      <c r="A31" s="638" t="s">
        <v>387</v>
      </c>
      <c r="B31" s="634">
        <v>69.3</v>
      </c>
      <c r="C31" s="635">
        <f t="shared" si="0"/>
        <v>2.4946004319654428E-4</v>
      </c>
      <c r="D31" s="593">
        <f t="shared" si="2"/>
        <v>6.929999999999999E-5</v>
      </c>
      <c r="E31" s="636"/>
      <c r="F31" s="637"/>
      <c r="G31" s="613">
        <f t="shared" si="1"/>
        <v>0</v>
      </c>
      <c r="H31" s="613">
        <f t="shared" si="1"/>
        <v>0</v>
      </c>
      <c r="N31" s="607"/>
    </row>
    <row r="32" spans="1:15" ht="13.5" thickBot="1" x14ac:dyDescent="0.25">
      <c r="A32" s="638" t="s">
        <v>388</v>
      </c>
      <c r="B32" s="634">
        <v>73.33</v>
      </c>
      <c r="C32" s="635">
        <f t="shared" si="0"/>
        <v>2.6396688264938807E-4</v>
      </c>
      <c r="D32" s="593">
        <f t="shared" si="2"/>
        <v>7.3330000000000004E-5</v>
      </c>
      <c r="E32" s="636"/>
      <c r="F32" s="637"/>
      <c r="G32" s="613">
        <f t="shared" si="1"/>
        <v>0</v>
      </c>
      <c r="H32" s="613">
        <f t="shared" si="1"/>
        <v>0</v>
      </c>
      <c r="N32" s="607"/>
    </row>
    <row r="33" spans="1:14" ht="13.5" thickBot="1" x14ac:dyDescent="0.25">
      <c r="A33" s="638" t="s">
        <v>389</v>
      </c>
      <c r="B33" s="634">
        <v>74.069999999999993</v>
      </c>
      <c r="C33" s="635">
        <f t="shared" si="0"/>
        <v>2.6663066954643627E-4</v>
      </c>
      <c r="D33" s="593">
        <f t="shared" si="2"/>
        <v>7.4069999999999987E-5</v>
      </c>
      <c r="E33" s="636"/>
      <c r="F33" s="637"/>
      <c r="G33" s="613">
        <f t="shared" si="1"/>
        <v>0</v>
      </c>
      <c r="H33" s="613">
        <f t="shared" si="1"/>
        <v>0</v>
      </c>
      <c r="N33" s="607"/>
    </row>
    <row r="34" spans="1:14" ht="13.5" thickBot="1" x14ac:dyDescent="0.25">
      <c r="A34" s="638" t="s">
        <v>390</v>
      </c>
      <c r="B34" s="634">
        <v>77.73</v>
      </c>
      <c r="C34" s="635">
        <f t="shared" si="0"/>
        <v>2.7980561555075598E-4</v>
      </c>
      <c r="D34" s="593">
        <f t="shared" si="2"/>
        <v>7.7730000000000003E-5</v>
      </c>
      <c r="E34" s="636"/>
      <c r="F34" s="637"/>
      <c r="G34" s="613">
        <f t="shared" si="1"/>
        <v>0</v>
      </c>
      <c r="H34" s="613">
        <f t="shared" si="1"/>
        <v>0</v>
      </c>
      <c r="N34" s="607"/>
    </row>
    <row r="35" spans="1:14" ht="13.5" thickBot="1" x14ac:dyDescent="0.25">
      <c r="A35" s="638" t="s">
        <v>391</v>
      </c>
      <c r="B35" s="634">
        <v>71.87</v>
      </c>
      <c r="C35" s="635">
        <f t="shared" si="0"/>
        <v>2.5871130309575234E-4</v>
      </c>
      <c r="D35" s="593">
        <f t="shared" si="2"/>
        <v>7.1870000000000001E-5</v>
      </c>
      <c r="E35" s="636"/>
      <c r="F35" s="637"/>
      <c r="G35" s="613">
        <f t="shared" si="1"/>
        <v>0</v>
      </c>
      <c r="H35" s="613">
        <f t="shared" si="1"/>
        <v>0</v>
      </c>
      <c r="N35" s="607"/>
    </row>
    <row r="36" spans="1:14" ht="13.5" thickBot="1" x14ac:dyDescent="0.25">
      <c r="A36" s="638" t="s">
        <v>392</v>
      </c>
      <c r="B36" s="634">
        <v>100.83</v>
      </c>
      <c r="C36" s="635">
        <f t="shared" si="0"/>
        <v>3.6295896328293733E-4</v>
      </c>
      <c r="D36" s="593">
        <f t="shared" si="2"/>
        <v>1.0083E-4</v>
      </c>
      <c r="E36" s="636"/>
      <c r="F36" s="637"/>
      <c r="G36" s="613">
        <f t="shared" si="1"/>
        <v>0</v>
      </c>
      <c r="H36" s="613">
        <f t="shared" si="1"/>
        <v>0</v>
      </c>
      <c r="N36" s="607"/>
    </row>
    <row r="37" spans="1:14" ht="13.5" thickBot="1" x14ac:dyDescent="0.25">
      <c r="A37" s="638" t="s">
        <v>393</v>
      </c>
      <c r="B37" s="634"/>
      <c r="C37" s="639"/>
      <c r="D37" s="640"/>
      <c r="E37" s="636"/>
      <c r="F37" s="637"/>
      <c r="G37" s="613">
        <f t="shared" si="1"/>
        <v>0</v>
      </c>
      <c r="H37" s="613">
        <f t="shared" si="1"/>
        <v>0</v>
      </c>
      <c r="N37" s="607"/>
    </row>
    <row r="38" spans="1:14" ht="13.5" thickBot="1" x14ac:dyDescent="0.25">
      <c r="A38" s="596" t="s">
        <v>394</v>
      </c>
      <c r="B38" s="641"/>
      <c r="C38" s="642"/>
      <c r="D38" s="643"/>
      <c r="E38" s="633"/>
      <c r="F38" s="641"/>
      <c r="G38" s="633"/>
      <c r="H38" s="644"/>
      <c r="N38" s="607"/>
    </row>
    <row r="39" spans="1:14" ht="13.5" thickBot="1" x14ac:dyDescent="0.25">
      <c r="A39" s="638" t="s">
        <v>395</v>
      </c>
      <c r="B39" s="609">
        <v>94.6</v>
      </c>
      <c r="C39" s="635">
        <f t="shared" ref="C39:C48" si="3">B39/277800</f>
        <v>3.4053275737940962E-4</v>
      </c>
      <c r="D39" s="593">
        <f t="shared" si="2"/>
        <v>9.4599999999999996E-5</v>
      </c>
      <c r="E39" s="636"/>
      <c r="F39" s="637"/>
      <c r="G39" s="613">
        <f t="shared" ref="G39:H49" si="4">C39*E39</f>
        <v>0</v>
      </c>
      <c r="H39" s="613">
        <f t="shared" si="4"/>
        <v>0</v>
      </c>
      <c r="N39" s="607"/>
    </row>
    <row r="40" spans="1:14" ht="13.5" thickBot="1" x14ac:dyDescent="0.25">
      <c r="A40" s="638" t="s">
        <v>396</v>
      </c>
      <c r="B40" s="609">
        <v>94.6</v>
      </c>
      <c r="C40" s="635">
        <f t="shared" si="3"/>
        <v>3.4053275737940962E-4</v>
      </c>
      <c r="D40" s="593">
        <f t="shared" si="2"/>
        <v>9.4599999999999996E-5</v>
      </c>
      <c r="E40" s="636"/>
      <c r="F40" s="637"/>
      <c r="G40" s="613">
        <f t="shared" si="4"/>
        <v>0</v>
      </c>
      <c r="H40" s="613">
        <f t="shared" si="4"/>
        <v>0</v>
      </c>
      <c r="N40" s="607"/>
    </row>
    <row r="41" spans="1:14" ht="13.5" thickBot="1" x14ac:dyDescent="0.25">
      <c r="A41" s="638" t="s">
        <v>397</v>
      </c>
      <c r="B41" s="609">
        <v>98.27</v>
      </c>
      <c r="C41" s="635">
        <f t="shared" si="3"/>
        <v>3.5374370050395969E-4</v>
      </c>
      <c r="D41" s="593">
        <f t="shared" si="2"/>
        <v>9.8269999999999993E-5</v>
      </c>
      <c r="E41" s="636"/>
      <c r="F41" s="637"/>
      <c r="G41" s="613">
        <f t="shared" si="4"/>
        <v>0</v>
      </c>
      <c r="H41" s="613">
        <f t="shared" si="4"/>
        <v>0</v>
      </c>
      <c r="N41" s="607"/>
    </row>
    <row r="42" spans="1:14" ht="13.5" thickBot="1" x14ac:dyDescent="0.25">
      <c r="A42" s="638" t="s">
        <v>398</v>
      </c>
      <c r="B42" s="609">
        <v>96.07</v>
      </c>
      <c r="C42" s="635">
        <f t="shared" si="3"/>
        <v>3.4582433405327571E-4</v>
      </c>
      <c r="D42" s="593">
        <f t="shared" si="2"/>
        <v>9.6069999999999993E-5</v>
      </c>
      <c r="E42" s="636"/>
      <c r="F42" s="637"/>
      <c r="G42" s="613">
        <f t="shared" si="4"/>
        <v>0</v>
      </c>
      <c r="H42" s="613">
        <f t="shared" si="4"/>
        <v>0</v>
      </c>
      <c r="N42" s="607"/>
    </row>
    <row r="43" spans="1:14" ht="13.5" thickBot="1" x14ac:dyDescent="0.25">
      <c r="A43" s="638" t="s">
        <v>399</v>
      </c>
      <c r="B43" s="609">
        <v>101.2</v>
      </c>
      <c r="C43" s="635">
        <f t="shared" si="3"/>
        <v>3.6429085673146151E-4</v>
      </c>
      <c r="D43" s="593">
        <f t="shared" si="2"/>
        <v>1.0120000000000001E-4</v>
      </c>
      <c r="E43" s="636"/>
      <c r="F43" s="637"/>
      <c r="G43" s="613">
        <f t="shared" si="4"/>
        <v>0</v>
      </c>
      <c r="H43" s="613">
        <f t="shared" si="4"/>
        <v>0</v>
      </c>
      <c r="M43" s="645"/>
    </row>
    <row r="44" spans="1:14" ht="13.5" thickBot="1" x14ac:dyDescent="0.25">
      <c r="A44" s="638" t="s">
        <v>400</v>
      </c>
      <c r="B44" s="609">
        <v>105.97</v>
      </c>
      <c r="C44" s="635">
        <f t="shared" si="3"/>
        <v>3.814614830813535E-4</v>
      </c>
      <c r="D44" s="593">
        <f t="shared" si="2"/>
        <v>1.0597E-4</v>
      </c>
      <c r="E44" s="636"/>
      <c r="F44" s="637"/>
      <c r="G44" s="613">
        <f t="shared" si="4"/>
        <v>0</v>
      </c>
      <c r="H44" s="613">
        <f t="shared" si="4"/>
        <v>0</v>
      </c>
      <c r="N44" s="607"/>
    </row>
    <row r="45" spans="1:14" ht="13.5" thickBot="1" x14ac:dyDescent="0.25">
      <c r="A45" s="638" t="s">
        <v>401</v>
      </c>
      <c r="B45" s="609">
        <v>94.6</v>
      </c>
      <c r="C45" s="635">
        <f t="shared" si="3"/>
        <v>3.4053275737940962E-4</v>
      </c>
      <c r="D45" s="593">
        <f t="shared" si="2"/>
        <v>9.4599999999999996E-5</v>
      </c>
      <c r="E45" s="636"/>
      <c r="F45" s="637"/>
      <c r="G45" s="613">
        <f t="shared" si="4"/>
        <v>0</v>
      </c>
      <c r="H45" s="613">
        <f t="shared" si="4"/>
        <v>0</v>
      </c>
      <c r="N45" s="607"/>
    </row>
    <row r="46" spans="1:14" ht="13.5" thickBot="1" x14ac:dyDescent="0.25">
      <c r="A46" s="638" t="s">
        <v>402</v>
      </c>
      <c r="B46" s="609">
        <v>108.17</v>
      </c>
      <c r="C46" s="635">
        <f t="shared" si="3"/>
        <v>3.8938084953203742E-4</v>
      </c>
      <c r="D46" s="593">
        <f t="shared" si="2"/>
        <v>1.0817E-4</v>
      </c>
      <c r="E46" s="636"/>
      <c r="F46" s="637"/>
      <c r="G46" s="613">
        <f t="shared" si="4"/>
        <v>0</v>
      </c>
      <c r="H46" s="613">
        <f t="shared" si="4"/>
        <v>0</v>
      </c>
      <c r="N46" s="607"/>
    </row>
    <row r="47" spans="1:14" ht="13.5" thickBot="1" x14ac:dyDescent="0.25">
      <c r="A47" s="638" t="s">
        <v>403</v>
      </c>
      <c r="B47" s="609">
        <v>108.17</v>
      </c>
      <c r="C47" s="635">
        <f t="shared" si="3"/>
        <v>3.8938084953203742E-4</v>
      </c>
      <c r="D47" s="593">
        <f t="shared" si="2"/>
        <v>1.0817E-4</v>
      </c>
      <c r="E47" s="636"/>
      <c r="F47" s="637"/>
      <c r="G47" s="613">
        <f t="shared" si="4"/>
        <v>0</v>
      </c>
      <c r="H47" s="613">
        <f t="shared" si="4"/>
        <v>0</v>
      </c>
      <c r="N47" s="607"/>
    </row>
    <row r="48" spans="1:14" ht="13.5" thickBot="1" x14ac:dyDescent="0.25">
      <c r="A48" s="638" t="s">
        <v>404</v>
      </c>
      <c r="B48" s="609">
        <v>94.6</v>
      </c>
      <c r="C48" s="635">
        <f t="shared" si="3"/>
        <v>3.4053275737940962E-4</v>
      </c>
      <c r="D48" s="593">
        <f t="shared" si="2"/>
        <v>9.4599999999999996E-5</v>
      </c>
      <c r="E48" s="636"/>
      <c r="F48" s="637"/>
      <c r="G48" s="613">
        <f t="shared" si="4"/>
        <v>0</v>
      </c>
      <c r="H48" s="613">
        <f t="shared" si="4"/>
        <v>0</v>
      </c>
      <c r="N48" s="607"/>
    </row>
    <row r="49" spans="1:14" ht="13.5" thickBot="1" x14ac:dyDescent="0.25">
      <c r="A49" s="638" t="s">
        <v>393</v>
      </c>
      <c r="B49" s="609"/>
      <c r="C49" s="639"/>
      <c r="D49" s="640"/>
      <c r="E49" s="636"/>
      <c r="F49" s="637"/>
      <c r="G49" s="613">
        <f t="shared" si="4"/>
        <v>0</v>
      </c>
      <c r="H49" s="613">
        <f t="shared" si="4"/>
        <v>0</v>
      </c>
      <c r="N49" s="607"/>
    </row>
    <row r="50" spans="1:14" ht="13.5" thickBot="1" x14ac:dyDescent="0.25">
      <c r="A50" s="596" t="s">
        <v>132</v>
      </c>
      <c r="B50" s="641"/>
      <c r="C50" s="642"/>
      <c r="D50" s="643"/>
      <c r="E50" s="633"/>
      <c r="F50" s="641"/>
      <c r="G50" s="633"/>
      <c r="H50" s="644"/>
      <c r="N50" s="607"/>
    </row>
    <row r="51" spans="1:14" ht="13.5" thickBot="1" x14ac:dyDescent="0.25">
      <c r="A51" s="638" t="s">
        <v>405</v>
      </c>
      <c r="B51" s="609">
        <v>56.1</v>
      </c>
      <c r="C51" s="635">
        <f>B51/277800</f>
        <v>2.019438444924406E-4</v>
      </c>
      <c r="D51" s="593">
        <f t="shared" si="2"/>
        <v>5.6100000000000002E-5</v>
      </c>
      <c r="E51" s="636"/>
      <c r="F51" s="637"/>
      <c r="G51" s="613">
        <f t="shared" ref="G51:H54" si="5">C51*E51</f>
        <v>0</v>
      </c>
      <c r="H51" s="613">
        <f t="shared" si="5"/>
        <v>0</v>
      </c>
      <c r="N51" s="607"/>
    </row>
    <row r="52" spans="1:14" ht="13.5" thickBot="1" x14ac:dyDescent="0.25">
      <c r="A52" s="638" t="s">
        <v>406</v>
      </c>
      <c r="B52" s="609">
        <v>47.67</v>
      </c>
      <c r="C52" s="635">
        <f>B52/277800</f>
        <v>1.7159827213822894E-4</v>
      </c>
      <c r="D52" s="593">
        <f t="shared" si="2"/>
        <v>4.7670000000000003E-5</v>
      </c>
      <c r="E52" s="636"/>
      <c r="F52" s="637"/>
      <c r="G52" s="613">
        <f t="shared" si="5"/>
        <v>0</v>
      </c>
      <c r="H52" s="613">
        <f t="shared" si="5"/>
        <v>0</v>
      </c>
      <c r="N52" s="607"/>
    </row>
    <row r="53" spans="1:14" ht="13.5" thickBot="1" x14ac:dyDescent="0.25">
      <c r="A53" s="638" t="s">
        <v>407</v>
      </c>
      <c r="B53" s="609">
        <v>242</v>
      </c>
      <c r="C53" s="635">
        <f>B53/277800</f>
        <v>8.7113030957523395E-4</v>
      </c>
      <c r="D53" s="593">
        <f t="shared" si="2"/>
        <v>2.42E-4</v>
      </c>
      <c r="E53" s="636"/>
      <c r="F53" s="637"/>
      <c r="G53" s="613">
        <f t="shared" si="5"/>
        <v>0</v>
      </c>
      <c r="H53" s="613">
        <f t="shared" si="5"/>
        <v>0</v>
      </c>
      <c r="N53" s="607"/>
    </row>
    <row r="54" spans="1:14" ht="13.5" thickBot="1" x14ac:dyDescent="0.25">
      <c r="A54" s="638" t="s">
        <v>393</v>
      </c>
      <c r="B54" s="638"/>
      <c r="C54" s="636"/>
      <c r="D54" s="646"/>
      <c r="E54" s="636"/>
      <c r="F54" s="600"/>
      <c r="G54" s="613">
        <f t="shared" si="5"/>
        <v>0</v>
      </c>
      <c r="H54" s="613">
        <f t="shared" si="5"/>
        <v>0</v>
      </c>
      <c r="N54" s="607"/>
    </row>
    <row r="55" spans="1:14" ht="13.5" thickBot="1" x14ac:dyDescent="0.25">
      <c r="A55" s="596" t="s">
        <v>408</v>
      </c>
      <c r="B55" s="597"/>
      <c r="C55" s="633"/>
      <c r="D55" s="633"/>
      <c r="E55" s="633"/>
      <c r="F55" s="598"/>
      <c r="G55" s="601">
        <f>SUM(G29:G54)</f>
        <v>0</v>
      </c>
      <c r="H55" s="601">
        <f>SUM(H29:H54)</f>
        <v>0</v>
      </c>
      <c r="N55" s="607"/>
    </row>
    <row r="56" spans="1:14" x14ac:dyDescent="0.2">
      <c r="A56" s="647" t="s">
        <v>409</v>
      </c>
      <c r="B56" s="647"/>
      <c r="C56" s="647"/>
      <c r="D56" s="648"/>
      <c r="E56" s="648"/>
    </row>
    <row r="57" spans="1:14" x14ac:dyDescent="0.2">
      <c r="A57" s="647"/>
      <c r="B57" s="647"/>
      <c r="C57" s="647"/>
      <c r="D57" s="648"/>
      <c r="E57" s="648"/>
    </row>
    <row r="58" spans="1:14" ht="13.5" thickBot="1" x14ac:dyDescent="0.25">
      <c r="A58" s="649" t="s">
        <v>410</v>
      </c>
      <c r="B58" s="650"/>
      <c r="C58" s="650"/>
      <c r="D58" s="650"/>
      <c r="E58" s="651"/>
      <c r="F58" s="579" t="s">
        <v>411</v>
      </c>
      <c r="G58" s="579"/>
    </row>
    <row r="59" spans="1:14" ht="26.25" thickBot="1" x14ac:dyDescent="0.25">
      <c r="A59" s="594" t="s">
        <v>412</v>
      </c>
      <c r="B59" s="652" t="s">
        <v>355</v>
      </c>
      <c r="C59" s="594" t="s">
        <v>413</v>
      </c>
      <c r="D59" s="653" t="s">
        <v>414</v>
      </c>
      <c r="E59" s="648"/>
      <c r="F59" s="654" t="s">
        <v>415</v>
      </c>
      <c r="G59" s="654" t="s">
        <v>416</v>
      </c>
    </row>
    <row r="60" spans="1:14" ht="13.5" thickBot="1" x14ac:dyDescent="0.25">
      <c r="A60" s="613" t="s">
        <v>417</v>
      </c>
      <c r="B60" s="655">
        <v>1</v>
      </c>
      <c r="C60" s="656"/>
      <c r="D60" s="613">
        <f>B60*C60</f>
        <v>0</v>
      </c>
      <c r="E60" s="648"/>
      <c r="F60" s="613">
        <f>G7+G55+D85+F22+F15</f>
        <v>0</v>
      </c>
      <c r="G60" s="613">
        <f>H7+H55+D85+F22+F15</f>
        <v>0</v>
      </c>
    </row>
    <row r="61" spans="1:14" ht="13.5" thickBot="1" x14ac:dyDescent="0.25">
      <c r="A61" s="613" t="s">
        <v>418</v>
      </c>
      <c r="B61" s="655">
        <v>21</v>
      </c>
      <c r="C61" s="656"/>
      <c r="D61" s="613">
        <f t="shared" ref="D61:D84" si="6">B61*C61</f>
        <v>0</v>
      </c>
      <c r="E61" s="648"/>
    </row>
    <row r="62" spans="1:14" ht="13.5" thickBot="1" x14ac:dyDescent="0.25">
      <c r="A62" s="613" t="s">
        <v>419</v>
      </c>
      <c r="B62" s="655">
        <v>310</v>
      </c>
      <c r="C62" s="656"/>
      <c r="D62" s="613">
        <f t="shared" si="6"/>
        <v>0</v>
      </c>
      <c r="E62" s="648"/>
      <c r="F62" s="577" t="s">
        <v>420</v>
      </c>
    </row>
    <row r="63" spans="1:14" ht="13.5" thickBot="1" x14ac:dyDescent="0.25">
      <c r="A63" s="613" t="s">
        <v>421</v>
      </c>
      <c r="B63" s="657">
        <v>23900</v>
      </c>
      <c r="C63" s="658"/>
      <c r="D63" s="613">
        <f t="shared" si="6"/>
        <v>0</v>
      </c>
      <c r="F63" s="577" t="s">
        <v>422</v>
      </c>
    </row>
    <row r="64" spans="1:14" ht="13.5" thickBot="1" x14ac:dyDescent="0.25">
      <c r="A64" s="659" t="s">
        <v>423</v>
      </c>
      <c r="B64" s="657">
        <v>2800</v>
      </c>
      <c r="C64" s="660"/>
      <c r="D64" s="613">
        <f t="shared" si="6"/>
        <v>0</v>
      </c>
    </row>
    <row r="65" spans="1:15" ht="13.5" thickBot="1" x14ac:dyDescent="0.25">
      <c r="A65" s="659" t="s">
        <v>424</v>
      </c>
      <c r="B65" s="657">
        <v>1000</v>
      </c>
      <c r="C65" s="660"/>
      <c r="D65" s="613">
        <f t="shared" si="6"/>
        <v>0</v>
      </c>
    </row>
    <row r="66" spans="1:15" ht="13.5" thickBot="1" x14ac:dyDescent="0.25">
      <c r="A66" s="659" t="s">
        <v>425</v>
      </c>
      <c r="B66" s="657">
        <v>1300</v>
      </c>
      <c r="C66" s="660"/>
      <c r="D66" s="613">
        <f t="shared" si="6"/>
        <v>0</v>
      </c>
      <c r="M66" s="576"/>
      <c r="N66" s="576"/>
      <c r="O66" s="576"/>
    </row>
    <row r="67" spans="1:15" ht="13.5" thickBot="1" x14ac:dyDescent="0.25">
      <c r="A67" s="659" t="s">
        <v>426</v>
      </c>
      <c r="B67" s="657">
        <v>300</v>
      </c>
      <c r="C67" s="660"/>
      <c r="D67" s="613">
        <f t="shared" si="6"/>
        <v>0</v>
      </c>
      <c r="N67" s="607"/>
    </row>
    <row r="68" spans="1:15" ht="13.5" thickBot="1" x14ac:dyDescent="0.25">
      <c r="A68" s="659" t="s">
        <v>427</v>
      </c>
      <c r="B68" s="657">
        <v>3800</v>
      </c>
      <c r="C68" s="660"/>
      <c r="D68" s="613">
        <f t="shared" si="6"/>
        <v>0</v>
      </c>
      <c r="N68" s="607"/>
    </row>
    <row r="69" spans="1:15" ht="13.5" thickBot="1" x14ac:dyDescent="0.25">
      <c r="A69" s="659" t="s">
        <v>428</v>
      </c>
      <c r="B69" s="638">
        <v>140</v>
      </c>
      <c r="C69" s="660"/>
      <c r="D69" s="613">
        <f t="shared" si="6"/>
        <v>0</v>
      </c>
      <c r="N69" s="607"/>
    </row>
    <row r="70" spans="1:15" ht="13.5" thickBot="1" x14ac:dyDescent="0.25">
      <c r="A70" s="659" t="s">
        <v>429</v>
      </c>
      <c r="B70" s="657">
        <v>2900</v>
      </c>
      <c r="C70" s="660"/>
      <c r="D70" s="613">
        <f t="shared" si="6"/>
        <v>0</v>
      </c>
      <c r="N70" s="607"/>
    </row>
    <row r="71" spans="1:15" ht="13.5" thickBot="1" x14ac:dyDescent="0.25">
      <c r="A71" s="659" t="s">
        <v>430</v>
      </c>
      <c r="B71" s="657">
        <v>11700</v>
      </c>
      <c r="C71" s="660"/>
      <c r="D71" s="613">
        <f t="shared" si="6"/>
        <v>0</v>
      </c>
      <c r="N71" s="607"/>
    </row>
    <row r="72" spans="1:15" ht="13.5" thickBot="1" x14ac:dyDescent="0.25">
      <c r="A72" s="659" t="s">
        <v>431</v>
      </c>
      <c r="B72" s="657">
        <v>6300</v>
      </c>
      <c r="C72" s="660"/>
      <c r="D72" s="613">
        <f t="shared" si="6"/>
        <v>0</v>
      </c>
      <c r="N72" s="607"/>
    </row>
    <row r="73" spans="1:15" ht="13.5" thickBot="1" x14ac:dyDescent="0.25">
      <c r="A73" s="659" t="s">
        <v>432</v>
      </c>
      <c r="B73" s="657">
        <v>560</v>
      </c>
      <c r="C73" s="660"/>
      <c r="D73" s="613">
        <f t="shared" si="6"/>
        <v>0</v>
      </c>
      <c r="N73" s="607"/>
    </row>
    <row r="74" spans="1:15" ht="13.5" thickBot="1" x14ac:dyDescent="0.25">
      <c r="A74" s="659" t="s">
        <v>433</v>
      </c>
      <c r="B74" s="638">
        <v>650</v>
      </c>
      <c r="C74" s="660"/>
      <c r="D74" s="613">
        <f t="shared" si="6"/>
        <v>0</v>
      </c>
      <c r="N74" s="607"/>
    </row>
    <row r="75" spans="1:15" ht="13.5" thickBot="1" x14ac:dyDescent="0.25">
      <c r="A75" s="659" t="s">
        <v>434</v>
      </c>
      <c r="B75" s="638">
        <v>150</v>
      </c>
      <c r="C75" s="660"/>
      <c r="D75" s="613">
        <f t="shared" si="6"/>
        <v>0</v>
      </c>
      <c r="N75" s="607"/>
    </row>
    <row r="76" spans="1:15" ht="13.5" thickBot="1" x14ac:dyDescent="0.25">
      <c r="A76" s="659" t="s">
        <v>435</v>
      </c>
      <c r="B76" s="657">
        <v>1300</v>
      </c>
      <c r="C76" s="660"/>
      <c r="D76" s="613">
        <f t="shared" si="6"/>
        <v>0</v>
      </c>
      <c r="N76" s="607"/>
    </row>
    <row r="77" spans="1:15" ht="13.5" thickBot="1" x14ac:dyDescent="0.25">
      <c r="A77" s="659" t="s">
        <v>436</v>
      </c>
      <c r="B77" s="657">
        <v>7000</v>
      </c>
      <c r="C77" s="660"/>
      <c r="D77" s="613">
        <f t="shared" si="6"/>
        <v>0</v>
      </c>
      <c r="N77" s="607"/>
    </row>
    <row r="78" spans="1:15" ht="13.5" thickBot="1" x14ac:dyDescent="0.25">
      <c r="A78" s="659" t="s">
        <v>437</v>
      </c>
      <c r="B78" s="657">
        <v>6500</v>
      </c>
      <c r="C78" s="660"/>
      <c r="D78" s="613">
        <f t="shared" si="6"/>
        <v>0</v>
      </c>
      <c r="N78" s="607"/>
    </row>
    <row r="79" spans="1:15" ht="13.5" thickBot="1" x14ac:dyDescent="0.25">
      <c r="A79" s="659" t="s">
        <v>438</v>
      </c>
      <c r="B79" s="657">
        <v>7000</v>
      </c>
      <c r="C79" s="660"/>
      <c r="D79" s="613">
        <f t="shared" si="6"/>
        <v>0</v>
      </c>
      <c r="N79" s="607"/>
    </row>
    <row r="80" spans="1:15" ht="13.5" thickBot="1" x14ac:dyDescent="0.25">
      <c r="A80" s="659" t="s">
        <v>439</v>
      </c>
      <c r="B80" s="657">
        <v>7500</v>
      </c>
      <c r="C80" s="660"/>
      <c r="D80" s="613">
        <f t="shared" si="6"/>
        <v>0</v>
      </c>
      <c r="N80" s="607"/>
    </row>
    <row r="81" spans="1:15" ht="13.5" thickBot="1" x14ac:dyDescent="0.25">
      <c r="A81" s="659" t="s">
        <v>440</v>
      </c>
      <c r="B81" s="657">
        <v>8700</v>
      </c>
      <c r="C81" s="660"/>
      <c r="D81" s="613">
        <f t="shared" si="6"/>
        <v>0</v>
      </c>
      <c r="N81" s="607"/>
    </row>
    <row r="82" spans="1:15" ht="13.5" thickBot="1" x14ac:dyDescent="0.25">
      <c r="A82" s="659" t="s">
        <v>441</v>
      </c>
      <c r="B82" s="657">
        <v>9200</v>
      </c>
      <c r="C82" s="660"/>
      <c r="D82" s="613">
        <f t="shared" si="6"/>
        <v>0</v>
      </c>
      <c r="N82" s="607"/>
    </row>
    <row r="83" spans="1:15" ht="13.5" thickBot="1" x14ac:dyDescent="0.25">
      <c r="A83" s="659" t="s">
        <v>442</v>
      </c>
      <c r="B83" s="657">
        <v>7400</v>
      </c>
      <c r="C83" s="660"/>
      <c r="D83" s="613">
        <f t="shared" si="6"/>
        <v>0</v>
      </c>
      <c r="N83" s="607"/>
    </row>
    <row r="84" spans="1:15" ht="13.5" thickBot="1" x14ac:dyDescent="0.25">
      <c r="A84" s="638" t="s">
        <v>393</v>
      </c>
      <c r="B84" s="658"/>
      <c r="C84" s="658"/>
      <c r="D84" s="613">
        <f t="shared" si="6"/>
        <v>0</v>
      </c>
      <c r="N84" s="607"/>
    </row>
    <row r="85" spans="1:15" ht="13.5" thickBot="1" x14ac:dyDescent="0.25">
      <c r="A85" s="596" t="s">
        <v>443</v>
      </c>
      <c r="B85" s="628"/>
      <c r="C85" s="629"/>
      <c r="D85" s="601">
        <f>SUM(D60:D84)</f>
        <v>0</v>
      </c>
      <c r="N85" s="607"/>
    </row>
    <row r="86" spans="1:15" x14ac:dyDescent="0.2">
      <c r="A86" s="603" t="s">
        <v>444</v>
      </c>
      <c r="N86" s="607"/>
    </row>
    <row r="87" spans="1:15" x14ac:dyDescent="0.2">
      <c r="A87" s="577" t="s">
        <v>445</v>
      </c>
      <c r="N87" s="607"/>
    </row>
    <row r="88" spans="1:15" x14ac:dyDescent="0.2">
      <c r="N88" s="607"/>
    </row>
    <row r="89" spans="1:15" x14ac:dyDescent="0.2">
      <c r="N89" s="607"/>
    </row>
    <row r="90" spans="1:15" x14ac:dyDescent="0.2">
      <c r="M90" s="661"/>
    </row>
    <row r="93" spans="1:15" x14ac:dyDescent="0.2">
      <c r="M93" s="576"/>
      <c r="N93" s="576"/>
      <c r="O93" s="576"/>
    </row>
    <row r="94" spans="1:15" x14ac:dyDescent="0.2">
      <c r="N94" s="607"/>
    </row>
    <row r="95" spans="1:15" x14ac:dyDescent="0.2">
      <c r="N95" s="607"/>
    </row>
    <row r="96" spans="1:15" x14ac:dyDescent="0.2">
      <c r="N96" s="607"/>
    </row>
    <row r="97" spans="13:15" x14ac:dyDescent="0.2">
      <c r="N97" s="607"/>
    </row>
    <row r="98" spans="13:15" x14ac:dyDescent="0.2">
      <c r="N98" s="607"/>
    </row>
    <row r="99" spans="13:15" x14ac:dyDescent="0.2">
      <c r="N99" s="607"/>
    </row>
    <row r="100" spans="13:15" x14ac:dyDescent="0.2">
      <c r="N100" s="607"/>
    </row>
    <row r="101" spans="13:15" x14ac:dyDescent="0.2">
      <c r="N101" s="607"/>
    </row>
    <row r="102" spans="13:15" x14ac:dyDescent="0.2">
      <c r="N102" s="607"/>
    </row>
    <row r="103" spans="13:15" x14ac:dyDescent="0.2">
      <c r="N103" s="607"/>
    </row>
    <row r="104" spans="13:15" x14ac:dyDescent="0.2">
      <c r="N104" s="607"/>
    </row>
    <row r="105" spans="13:15" x14ac:dyDescent="0.2">
      <c r="N105" s="607"/>
    </row>
    <row r="108" spans="13:15" x14ac:dyDescent="0.2">
      <c r="M108" s="576"/>
      <c r="N108" s="576"/>
      <c r="O108" s="576"/>
    </row>
    <row r="109" spans="13:15" x14ac:dyDescent="0.2">
      <c r="N109" s="607"/>
    </row>
    <row r="110" spans="13:15" x14ac:dyDescent="0.2">
      <c r="N110" s="607"/>
    </row>
    <row r="111" spans="13:15" x14ac:dyDescent="0.2">
      <c r="N111" s="607"/>
    </row>
    <row r="112" spans="13:15" x14ac:dyDescent="0.2">
      <c r="N112" s="607"/>
    </row>
    <row r="113" spans="14:14" x14ac:dyDescent="0.2">
      <c r="N113" s="607"/>
    </row>
    <row r="114" spans="14:14" x14ac:dyDescent="0.2">
      <c r="N114" s="607"/>
    </row>
    <row r="115" spans="14:14" x14ac:dyDescent="0.2">
      <c r="N115" s="607"/>
    </row>
    <row r="116" spans="14:14" x14ac:dyDescent="0.2">
      <c r="N116" s="607"/>
    </row>
    <row r="117" spans="14:14" x14ac:dyDescent="0.2">
      <c r="N117" s="607"/>
    </row>
    <row r="118" spans="14:14" x14ac:dyDescent="0.2">
      <c r="N118" s="607"/>
    </row>
    <row r="119" spans="14:14" x14ac:dyDescent="0.2">
      <c r="N119" s="607"/>
    </row>
    <row r="120" spans="14:14" x14ac:dyDescent="0.2">
      <c r="N120" s="607"/>
    </row>
    <row r="121" spans="14:14" x14ac:dyDescent="0.2">
      <c r="N121" s="607"/>
    </row>
    <row r="122" spans="14:14" x14ac:dyDescent="0.2">
      <c r="N122" s="607"/>
    </row>
    <row r="123" spans="14:14" x14ac:dyDescent="0.2">
      <c r="N123" s="607"/>
    </row>
    <row r="124" spans="14:14" x14ac:dyDescent="0.2">
      <c r="N124" s="607"/>
    </row>
    <row r="125" spans="14:14" x14ac:dyDescent="0.2">
      <c r="N125" s="607"/>
    </row>
    <row r="126" spans="14:14" x14ac:dyDescent="0.2">
      <c r="N126" s="607"/>
    </row>
    <row r="127" spans="14:14" x14ac:dyDescent="0.2">
      <c r="N127" s="607"/>
    </row>
    <row r="128" spans="14:14" x14ac:dyDescent="0.2">
      <c r="N128" s="607"/>
    </row>
    <row r="129" spans="13:15" x14ac:dyDescent="0.2">
      <c r="N129" s="607"/>
    </row>
    <row r="130" spans="13:15" x14ac:dyDescent="0.2">
      <c r="N130" s="607"/>
    </row>
    <row r="132" spans="13:15" x14ac:dyDescent="0.2">
      <c r="M132" s="576"/>
      <c r="N132" s="576"/>
      <c r="O132" s="576"/>
    </row>
    <row r="133" spans="13:15" x14ac:dyDescent="0.2">
      <c r="N133" s="607"/>
    </row>
    <row r="134" spans="13:15" x14ac:dyDescent="0.2">
      <c r="N134" s="607"/>
    </row>
    <row r="135" spans="13:15" x14ac:dyDescent="0.2">
      <c r="N135" s="607"/>
    </row>
    <row r="136" spans="13:15" x14ac:dyDescent="0.2">
      <c r="N136" s="607"/>
    </row>
    <row r="137" spans="13:15" x14ac:dyDescent="0.2">
      <c r="N137" s="607"/>
    </row>
    <row r="138" spans="13:15" x14ac:dyDescent="0.2">
      <c r="N138" s="607"/>
    </row>
    <row r="139" spans="13:15" x14ac:dyDescent="0.2">
      <c r="N139" s="607"/>
    </row>
    <row r="140" spans="13:15" x14ac:dyDescent="0.2">
      <c r="N140" s="607"/>
    </row>
    <row r="141" spans="13:15" x14ac:dyDescent="0.2">
      <c r="N141" s="607"/>
    </row>
    <row r="142" spans="13:15" x14ac:dyDescent="0.2">
      <c r="N142" s="607"/>
    </row>
    <row r="143" spans="13:15" x14ac:dyDescent="0.2">
      <c r="N143" s="607"/>
    </row>
    <row r="144" spans="13:15" x14ac:dyDescent="0.2">
      <c r="N144" s="607"/>
    </row>
    <row r="145" spans="13:14" x14ac:dyDescent="0.2">
      <c r="N145" s="607"/>
    </row>
    <row r="146" spans="13:14" x14ac:dyDescent="0.2">
      <c r="N146" s="607"/>
    </row>
    <row r="147" spans="13:14" x14ac:dyDescent="0.2">
      <c r="N147" s="607"/>
    </row>
    <row r="148" spans="13:14" x14ac:dyDescent="0.2">
      <c r="N148" s="607"/>
    </row>
    <row r="149" spans="13:14" x14ac:dyDescent="0.2">
      <c r="N149" s="607"/>
    </row>
    <row r="150" spans="13:14" x14ac:dyDescent="0.2">
      <c r="N150" s="607"/>
    </row>
    <row r="151" spans="13:14" x14ac:dyDescent="0.2">
      <c r="N151" s="607"/>
    </row>
    <row r="152" spans="13:14" x14ac:dyDescent="0.2">
      <c r="N152" s="607"/>
    </row>
    <row r="153" spans="13:14" x14ac:dyDescent="0.2">
      <c r="N153" s="607"/>
    </row>
    <row r="154" spans="13:14" x14ac:dyDescent="0.2">
      <c r="N154" s="607"/>
    </row>
    <row r="155" spans="13:14" x14ac:dyDescent="0.2">
      <c r="N155" s="607"/>
    </row>
    <row r="156" spans="13:14" x14ac:dyDescent="0.2">
      <c r="M156" s="662"/>
    </row>
  </sheetData>
  <sheetProtection sheet="1" objects="1" scenarios="1" selectLockedCells="1"/>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54"/>
  </sheetPr>
  <dimension ref="A1:H133"/>
  <sheetViews>
    <sheetView workbookViewId="0">
      <selection activeCell="F3" sqref="F3"/>
    </sheetView>
  </sheetViews>
  <sheetFormatPr defaultRowHeight="12.75" x14ac:dyDescent="0.2"/>
  <cols>
    <col min="1" max="1" width="23.42578125" style="664" customWidth="1"/>
    <col min="2" max="2" width="25.85546875" style="664" customWidth="1"/>
    <col min="3" max="4" width="9.140625" style="664"/>
    <col min="5" max="5" width="18.140625" style="664" customWidth="1"/>
    <col min="6" max="6" width="9.140625" style="664"/>
    <col min="7" max="7" width="11.28515625" style="664" bestFit="1" customWidth="1"/>
    <col min="8" max="256" width="9.140625" style="664"/>
    <col min="257" max="257" width="23.42578125" style="664" customWidth="1"/>
    <col min="258" max="258" width="25.85546875" style="664" customWidth="1"/>
    <col min="259" max="260" width="9.140625" style="664"/>
    <col min="261" max="261" width="18.140625" style="664" customWidth="1"/>
    <col min="262" max="262" width="9.140625" style="664"/>
    <col min="263" max="263" width="11.28515625" style="664" bestFit="1" customWidth="1"/>
    <col min="264" max="512" width="9.140625" style="664"/>
    <col min="513" max="513" width="23.42578125" style="664" customWidth="1"/>
    <col min="514" max="514" width="25.85546875" style="664" customWidth="1"/>
    <col min="515" max="516" width="9.140625" style="664"/>
    <col min="517" max="517" width="18.140625" style="664" customWidth="1"/>
    <col min="518" max="518" width="9.140625" style="664"/>
    <col min="519" max="519" width="11.28515625" style="664" bestFit="1" customWidth="1"/>
    <col min="520" max="768" width="9.140625" style="664"/>
    <col min="769" max="769" width="23.42578125" style="664" customWidth="1"/>
    <col min="770" max="770" width="25.85546875" style="664" customWidth="1"/>
    <col min="771" max="772" width="9.140625" style="664"/>
    <col min="773" max="773" width="18.140625" style="664" customWidth="1"/>
    <col min="774" max="774" width="9.140625" style="664"/>
    <col min="775" max="775" width="11.28515625" style="664" bestFit="1" customWidth="1"/>
    <col min="776" max="1024" width="9.140625" style="664"/>
    <col min="1025" max="1025" width="23.42578125" style="664" customWidth="1"/>
    <col min="1026" max="1026" width="25.85546875" style="664" customWidth="1"/>
    <col min="1027" max="1028" width="9.140625" style="664"/>
    <col min="1029" max="1029" width="18.140625" style="664" customWidth="1"/>
    <col min="1030" max="1030" width="9.140625" style="664"/>
    <col min="1031" max="1031" width="11.28515625" style="664" bestFit="1" customWidth="1"/>
    <col min="1032" max="1280" width="9.140625" style="664"/>
    <col min="1281" max="1281" width="23.42578125" style="664" customWidth="1"/>
    <col min="1282" max="1282" width="25.85546875" style="664" customWidth="1"/>
    <col min="1283" max="1284" width="9.140625" style="664"/>
    <col min="1285" max="1285" width="18.140625" style="664" customWidth="1"/>
    <col min="1286" max="1286" width="9.140625" style="664"/>
    <col min="1287" max="1287" width="11.28515625" style="664" bestFit="1" customWidth="1"/>
    <col min="1288" max="1536" width="9.140625" style="664"/>
    <col min="1537" max="1537" width="23.42578125" style="664" customWidth="1"/>
    <col min="1538" max="1538" width="25.85546875" style="664" customWidth="1"/>
    <col min="1539" max="1540" width="9.140625" style="664"/>
    <col min="1541" max="1541" width="18.140625" style="664" customWidth="1"/>
    <col min="1542" max="1542" width="9.140625" style="664"/>
    <col min="1543" max="1543" width="11.28515625" style="664" bestFit="1" customWidth="1"/>
    <col min="1544" max="1792" width="9.140625" style="664"/>
    <col min="1793" max="1793" width="23.42578125" style="664" customWidth="1"/>
    <col min="1794" max="1794" width="25.85546875" style="664" customWidth="1"/>
    <col min="1795" max="1796" width="9.140625" style="664"/>
    <col min="1797" max="1797" width="18.140625" style="664" customWidth="1"/>
    <col min="1798" max="1798" width="9.140625" style="664"/>
    <col min="1799" max="1799" width="11.28515625" style="664" bestFit="1" customWidth="1"/>
    <col min="1800" max="2048" width="9.140625" style="664"/>
    <col min="2049" max="2049" width="23.42578125" style="664" customWidth="1"/>
    <col min="2050" max="2050" width="25.85546875" style="664" customWidth="1"/>
    <col min="2051" max="2052" width="9.140625" style="664"/>
    <col min="2053" max="2053" width="18.140625" style="664" customWidth="1"/>
    <col min="2054" max="2054" width="9.140625" style="664"/>
    <col min="2055" max="2055" width="11.28515625" style="664" bestFit="1" customWidth="1"/>
    <col min="2056" max="2304" width="9.140625" style="664"/>
    <col min="2305" max="2305" width="23.42578125" style="664" customWidth="1"/>
    <col min="2306" max="2306" width="25.85546875" style="664" customWidth="1"/>
    <col min="2307" max="2308" width="9.140625" style="664"/>
    <col min="2309" max="2309" width="18.140625" style="664" customWidth="1"/>
    <col min="2310" max="2310" width="9.140625" style="664"/>
    <col min="2311" max="2311" width="11.28515625" style="664" bestFit="1" customWidth="1"/>
    <col min="2312" max="2560" width="9.140625" style="664"/>
    <col min="2561" max="2561" width="23.42578125" style="664" customWidth="1"/>
    <col min="2562" max="2562" width="25.85546875" style="664" customWidth="1"/>
    <col min="2563" max="2564" width="9.140625" style="664"/>
    <col min="2565" max="2565" width="18.140625" style="664" customWidth="1"/>
    <col min="2566" max="2566" width="9.140625" style="664"/>
    <col min="2567" max="2567" width="11.28515625" style="664" bestFit="1" customWidth="1"/>
    <col min="2568" max="2816" width="9.140625" style="664"/>
    <col min="2817" max="2817" width="23.42578125" style="664" customWidth="1"/>
    <col min="2818" max="2818" width="25.85546875" style="664" customWidth="1"/>
    <col min="2819" max="2820" width="9.140625" style="664"/>
    <col min="2821" max="2821" width="18.140625" style="664" customWidth="1"/>
    <col min="2822" max="2822" width="9.140625" style="664"/>
    <col min="2823" max="2823" width="11.28515625" style="664" bestFit="1" customWidth="1"/>
    <col min="2824" max="3072" width="9.140625" style="664"/>
    <col min="3073" max="3073" width="23.42578125" style="664" customWidth="1"/>
    <col min="3074" max="3074" width="25.85546875" style="664" customWidth="1"/>
    <col min="3075" max="3076" width="9.140625" style="664"/>
    <col min="3077" max="3077" width="18.140625" style="664" customWidth="1"/>
    <col min="3078" max="3078" width="9.140625" style="664"/>
    <col min="3079" max="3079" width="11.28515625" style="664" bestFit="1" customWidth="1"/>
    <col min="3080" max="3328" width="9.140625" style="664"/>
    <col min="3329" max="3329" width="23.42578125" style="664" customWidth="1"/>
    <col min="3330" max="3330" width="25.85546875" style="664" customWidth="1"/>
    <col min="3331" max="3332" width="9.140625" style="664"/>
    <col min="3333" max="3333" width="18.140625" style="664" customWidth="1"/>
    <col min="3334" max="3334" width="9.140625" style="664"/>
    <col min="3335" max="3335" width="11.28515625" style="664" bestFit="1" customWidth="1"/>
    <col min="3336" max="3584" width="9.140625" style="664"/>
    <col min="3585" max="3585" width="23.42578125" style="664" customWidth="1"/>
    <col min="3586" max="3586" width="25.85546875" style="664" customWidth="1"/>
    <col min="3587" max="3588" width="9.140625" style="664"/>
    <col min="3589" max="3589" width="18.140625" style="664" customWidth="1"/>
    <col min="3590" max="3590" width="9.140625" style="664"/>
    <col min="3591" max="3591" width="11.28515625" style="664" bestFit="1" customWidth="1"/>
    <col min="3592" max="3840" width="9.140625" style="664"/>
    <col min="3841" max="3841" width="23.42578125" style="664" customWidth="1"/>
    <col min="3842" max="3842" width="25.85546875" style="664" customWidth="1"/>
    <col min="3843" max="3844" width="9.140625" style="664"/>
    <col min="3845" max="3845" width="18.140625" style="664" customWidth="1"/>
    <col min="3846" max="3846" width="9.140625" style="664"/>
    <col min="3847" max="3847" width="11.28515625" style="664" bestFit="1" customWidth="1"/>
    <col min="3848" max="4096" width="9.140625" style="664"/>
    <col min="4097" max="4097" width="23.42578125" style="664" customWidth="1"/>
    <col min="4098" max="4098" width="25.85546875" style="664" customWidth="1"/>
    <col min="4099" max="4100" width="9.140625" style="664"/>
    <col min="4101" max="4101" width="18.140625" style="664" customWidth="1"/>
    <col min="4102" max="4102" width="9.140625" style="664"/>
    <col min="4103" max="4103" width="11.28515625" style="664" bestFit="1" customWidth="1"/>
    <col min="4104" max="4352" width="9.140625" style="664"/>
    <col min="4353" max="4353" width="23.42578125" style="664" customWidth="1"/>
    <col min="4354" max="4354" width="25.85546875" style="664" customWidth="1"/>
    <col min="4355" max="4356" width="9.140625" style="664"/>
    <col min="4357" max="4357" width="18.140625" style="664" customWidth="1"/>
    <col min="4358" max="4358" width="9.140625" style="664"/>
    <col min="4359" max="4359" width="11.28515625" style="664" bestFit="1" customWidth="1"/>
    <col min="4360" max="4608" width="9.140625" style="664"/>
    <col min="4609" max="4609" width="23.42578125" style="664" customWidth="1"/>
    <col min="4610" max="4610" width="25.85546875" style="664" customWidth="1"/>
    <col min="4611" max="4612" width="9.140625" style="664"/>
    <col min="4613" max="4613" width="18.140625" style="664" customWidth="1"/>
    <col min="4614" max="4614" width="9.140625" style="664"/>
    <col min="4615" max="4615" width="11.28515625" style="664" bestFit="1" customWidth="1"/>
    <col min="4616" max="4864" width="9.140625" style="664"/>
    <col min="4865" max="4865" width="23.42578125" style="664" customWidth="1"/>
    <col min="4866" max="4866" width="25.85546875" style="664" customWidth="1"/>
    <col min="4867" max="4868" width="9.140625" style="664"/>
    <col min="4869" max="4869" width="18.140625" style="664" customWidth="1"/>
    <col min="4870" max="4870" width="9.140625" style="664"/>
    <col min="4871" max="4871" width="11.28515625" style="664" bestFit="1" customWidth="1"/>
    <col min="4872" max="5120" width="9.140625" style="664"/>
    <col min="5121" max="5121" width="23.42578125" style="664" customWidth="1"/>
    <col min="5122" max="5122" width="25.85546875" style="664" customWidth="1"/>
    <col min="5123" max="5124" width="9.140625" style="664"/>
    <col min="5125" max="5125" width="18.140625" style="664" customWidth="1"/>
    <col min="5126" max="5126" width="9.140625" style="664"/>
    <col min="5127" max="5127" width="11.28515625" style="664" bestFit="1" customWidth="1"/>
    <col min="5128" max="5376" width="9.140625" style="664"/>
    <col min="5377" max="5377" width="23.42578125" style="664" customWidth="1"/>
    <col min="5378" max="5378" width="25.85546875" style="664" customWidth="1"/>
    <col min="5379" max="5380" width="9.140625" style="664"/>
    <col min="5381" max="5381" width="18.140625" style="664" customWidth="1"/>
    <col min="5382" max="5382" width="9.140625" style="664"/>
    <col min="5383" max="5383" width="11.28515625" style="664" bestFit="1" customWidth="1"/>
    <col min="5384" max="5632" width="9.140625" style="664"/>
    <col min="5633" max="5633" width="23.42578125" style="664" customWidth="1"/>
    <col min="5634" max="5634" width="25.85546875" style="664" customWidth="1"/>
    <col min="5635" max="5636" width="9.140625" style="664"/>
    <col min="5637" max="5637" width="18.140625" style="664" customWidth="1"/>
    <col min="5638" max="5638" width="9.140625" style="664"/>
    <col min="5639" max="5639" width="11.28515625" style="664" bestFit="1" customWidth="1"/>
    <col min="5640" max="5888" width="9.140625" style="664"/>
    <col min="5889" max="5889" width="23.42578125" style="664" customWidth="1"/>
    <col min="5890" max="5890" width="25.85546875" style="664" customWidth="1"/>
    <col min="5891" max="5892" width="9.140625" style="664"/>
    <col min="5893" max="5893" width="18.140625" style="664" customWidth="1"/>
    <col min="5894" max="5894" width="9.140625" style="664"/>
    <col min="5895" max="5895" width="11.28515625" style="664" bestFit="1" customWidth="1"/>
    <col min="5896" max="6144" width="9.140625" style="664"/>
    <col min="6145" max="6145" width="23.42578125" style="664" customWidth="1"/>
    <col min="6146" max="6146" width="25.85546875" style="664" customWidth="1"/>
    <col min="6147" max="6148" width="9.140625" style="664"/>
    <col min="6149" max="6149" width="18.140625" style="664" customWidth="1"/>
    <col min="6150" max="6150" width="9.140625" style="664"/>
    <col min="6151" max="6151" width="11.28515625" style="664" bestFit="1" customWidth="1"/>
    <col min="6152" max="6400" width="9.140625" style="664"/>
    <col min="6401" max="6401" width="23.42578125" style="664" customWidth="1"/>
    <col min="6402" max="6402" width="25.85546875" style="664" customWidth="1"/>
    <col min="6403" max="6404" width="9.140625" style="664"/>
    <col min="6405" max="6405" width="18.140625" style="664" customWidth="1"/>
    <col min="6406" max="6406" width="9.140625" style="664"/>
    <col min="6407" max="6407" width="11.28515625" style="664" bestFit="1" customWidth="1"/>
    <col min="6408" max="6656" width="9.140625" style="664"/>
    <col min="6657" max="6657" width="23.42578125" style="664" customWidth="1"/>
    <col min="6658" max="6658" width="25.85546875" style="664" customWidth="1"/>
    <col min="6659" max="6660" width="9.140625" style="664"/>
    <col min="6661" max="6661" width="18.140625" style="664" customWidth="1"/>
    <col min="6662" max="6662" width="9.140625" style="664"/>
    <col min="6663" max="6663" width="11.28515625" style="664" bestFit="1" customWidth="1"/>
    <col min="6664" max="6912" width="9.140625" style="664"/>
    <col min="6913" max="6913" width="23.42578125" style="664" customWidth="1"/>
    <col min="6914" max="6914" width="25.85546875" style="664" customWidth="1"/>
    <col min="6915" max="6916" width="9.140625" style="664"/>
    <col min="6917" max="6917" width="18.140625" style="664" customWidth="1"/>
    <col min="6918" max="6918" width="9.140625" style="664"/>
    <col min="6919" max="6919" width="11.28515625" style="664" bestFit="1" customWidth="1"/>
    <col min="6920" max="7168" width="9.140625" style="664"/>
    <col min="7169" max="7169" width="23.42578125" style="664" customWidth="1"/>
    <col min="7170" max="7170" width="25.85546875" style="664" customWidth="1"/>
    <col min="7171" max="7172" width="9.140625" style="664"/>
    <col min="7173" max="7173" width="18.140625" style="664" customWidth="1"/>
    <col min="7174" max="7174" width="9.140625" style="664"/>
    <col min="7175" max="7175" width="11.28515625" style="664" bestFit="1" customWidth="1"/>
    <col min="7176" max="7424" width="9.140625" style="664"/>
    <col min="7425" max="7425" width="23.42578125" style="664" customWidth="1"/>
    <col min="7426" max="7426" width="25.85546875" style="664" customWidth="1"/>
    <col min="7427" max="7428" width="9.140625" style="664"/>
    <col min="7429" max="7429" width="18.140625" style="664" customWidth="1"/>
    <col min="7430" max="7430" width="9.140625" style="664"/>
    <col min="7431" max="7431" width="11.28515625" style="664" bestFit="1" customWidth="1"/>
    <col min="7432" max="7680" width="9.140625" style="664"/>
    <col min="7681" max="7681" width="23.42578125" style="664" customWidth="1"/>
    <col min="7682" max="7682" width="25.85546875" style="664" customWidth="1"/>
    <col min="7683" max="7684" width="9.140625" style="664"/>
    <col min="7685" max="7685" width="18.140625" style="664" customWidth="1"/>
    <col min="7686" max="7686" width="9.140625" style="664"/>
    <col min="7687" max="7687" width="11.28515625" style="664" bestFit="1" customWidth="1"/>
    <col min="7688" max="7936" width="9.140625" style="664"/>
    <col min="7937" max="7937" width="23.42578125" style="664" customWidth="1"/>
    <col min="7938" max="7938" width="25.85546875" style="664" customWidth="1"/>
    <col min="7939" max="7940" width="9.140625" style="664"/>
    <col min="7941" max="7941" width="18.140625" style="664" customWidth="1"/>
    <col min="7942" max="7942" width="9.140625" style="664"/>
    <col min="7943" max="7943" width="11.28515625" style="664" bestFit="1" customWidth="1"/>
    <col min="7944" max="8192" width="9.140625" style="664"/>
    <col min="8193" max="8193" width="23.42578125" style="664" customWidth="1"/>
    <col min="8194" max="8194" width="25.85546875" style="664" customWidth="1"/>
    <col min="8195" max="8196" width="9.140625" style="664"/>
    <col min="8197" max="8197" width="18.140625" style="664" customWidth="1"/>
    <col min="8198" max="8198" width="9.140625" style="664"/>
    <col min="8199" max="8199" width="11.28515625" style="664" bestFit="1" customWidth="1"/>
    <col min="8200" max="8448" width="9.140625" style="664"/>
    <col min="8449" max="8449" width="23.42578125" style="664" customWidth="1"/>
    <col min="8450" max="8450" width="25.85546875" style="664" customWidth="1"/>
    <col min="8451" max="8452" width="9.140625" style="664"/>
    <col min="8453" max="8453" width="18.140625" style="664" customWidth="1"/>
    <col min="8454" max="8454" width="9.140625" style="664"/>
    <col min="8455" max="8455" width="11.28515625" style="664" bestFit="1" customWidth="1"/>
    <col min="8456" max="8704" width="9.140625" style="664"/>
    <col min="8705" max="8705" width="23.42578125" style="664" customWidth="1"/>
    <col min="8706" max="8706" width="25.85546875" style="664" customWidth="1"/>
    <col min="8707" max="8708" width="9.140625" style="664"/>
    <col min="8709" max="8709" width="18.140625" style="664" customWidth="1"/>
    <col min="8710" max="8710" width="9.140625" style="664"/>
    <col min="8711" max="8711" width="11.28515625" style="664" bestFit="1" customWidth="1"/>
    <col min="8712" max="8960" width="9.140625" style="664"/>
    <col min="8961" max="8961" width="23.42578125" style="664" customWidth="1"/>
    <col min="8962" max="8962" width="25.85546875" style="664" customWidth="1"/>
    <col min="8963" max="8964" width="9.140625" style="664"/>
    <col min="8965" max="8965" width="18.140625" style="664" customWidth="1"/>
    <col min="8966" max="8966" width="9.140625" style="664"/>
    <col min="8967" max="8967" width="11.28515625" style="664" bestFit="1" customWidth="1"/>
    <col min="8968" max="9216" width="9.140625" style="664"/>
    <col min="9217" max="9217" width="23.42578125" style="664" customWidth="1"/>
    <col min="9218" max="9218" width="25.85546875" style="664" customWidth="1"/>
    <col min="9219" max="9220" width="9.140625" style="664"/>
    <col min="9221" max="9221" width="18.140625" style="664" customWidth="1"/>
    <col min="9222" max="9222" width="9.140625" style="664"/>
    <col min="9223" max="9223" width="11.28515625" style="664" bestFit="1" customWidth="1"/>
    <col min="9224" max="9472" width="9.140625" style="664"/>
    <col min="9473" max="9473" width="23.42578125" style="664" customWidth="1"/>
    <col min="9474" max="9474" width="25.85546875" style="664" customWidth="1"/>
    <col min="9475" max="9476" width="9.140625" style="664"/>
    <col min="9477" max="9477" width="18.140625" style="664" customWidth="1"/>
    <col min="9478" max="9478" width="9.140625" style="664"/>
    <col min="9479" max="9479" width="11.28515625" style="664" bestFit="1" customWidth="1"/>
    <col min="9480" max="9728" width="9.140625" style="664"/>
    <col min="9729" max="9729" width="23.42578125" style="664" customWidth="1"/>
    <col min="9730" max="9730" width="25.85546875" style="664" customWidth="1"/>
    <col min="9731" max="9732" width="9.140625" style="664"/>
    <col min="9733" max="9733" width="18.140625" style="664" customWidth="1"/>
    <col min="9734" max="9734" width="9.140625" style="664"/>
    <col min="9735" max="9735" width="11.28515625" style="664" bestFit="1" customWidth="1"/>
    <col min="9736" max="9984" width="9.140625" style="664"/>
    <col min="9985" max="9985" width="23.42578125" style="664" customWidth="1"/>
    <col min="9986" max="9986" width="25.85546875" style="664" customWidth="1"/>
    <col min="9987" max="9988" width="9.140625" style="664"/>
    <col min="9989" max="9989" width="18.140625" style="664" customWidth="1"/>
    <col min="9990" max="9990" width="9.140625" style="664"/>
    <col min="9991" max="9991" width="11.28515625" style="664" bestFit="1" customWidth="1"/>
    <col min="9992" max="10240" width="9.140625" style="664"/>
    <col min="10241" max="10241" width="23.42578125" style="664" customWidth="1"/>
    <col min="10242" max="10242" width="25.85546875" style="664" customWidth="1"/>
    <col min="10243" max="10244" width="9.140625" style="664"/>
    <col min="10245" max="10245" width="18.140625" style="664" customWidth="1"/>
    <col min="10246" max="10246" width="9.140625" style="664"/>
    <col min="10247" max="10247" width="11.28515625" style="664" bestFit="1" customWidth="1"/>
    <col min="10248" max="10496" width="9.140625" style="664"/>
    <col min="10497" max="10497" width="23.42578125" style="664" customWidth="1"/>
    <col min="10498" max="10498" width="25.85546875" style="664" customWidth="1"/>
    <col min="10499" max="10500" width="9.140625" style="664"/>
    <col min="10501" max="10501" width="18.140625" style="664" customWidth="1"/>
    <col min="10502" max="10502" width="9.140625" style="664"/>
    <col min="10503" max="10503" width="11.28515625" style="664" bestFit="1" customWidth="1"/>
    <col min="10504" max="10752" width="9.140625" style="664"/>
    <col min="10753" max="10753" width="23.42578125" style="664" customWidth="1"/>
    <col min="10754" max="10754" width="25.85546875" style="664" customWidth="1"/>
    <col min="10755" max="10756" width="9.140625" style="664"/>
    <col min="10757" max="10757" width="18.140625" style="664" customWidth="1"/>
    <col min="10758" max="10758" width="9.140625" style="664"/>
    <col min="10759" max="10759" width="11.28515625" style="664" bestFit="1" customWidth="1"/>
    <col min="10760" max="11008" width="9.140625" style="664"/>
    <col min="11009" max="11009" width="23.42578125" style="664" customWidth="1"/>
    <col min="11010" max="11010" width="25.85546875" style="664" customWidth="1"/>
    <col min="11011" max="11012" width="9.140625" style="664"/>
    <col min="11013" max="11013" width="18.140625" style="664" customWidth="1"/>
    <col min="11014" max="11014" width="9.140625" style="664"/>
    <col min="11015" max="11015" width="11.28515625" style="664" bestFit="1" customWidth="1"/>
    <col min="11016" max="11264" width="9.140625" style="664"/>
    <col min="11265" max="11265" width="23.42578125" style="664" customWidth="1"/>
    <col min="11266" max="11266" width="25.85546875" style="664" customWidth="1"/>
    <col min="11267" max="11268" width="9.140625" style="664"/>
    <col min="11269" max="11269" width="18.140625" style="664" customWidth="1"/>
    <col min="11270" max="11270" width="9.140625" style="664"/>
    <col min="11271" max="11271" width="11.28515625" style="664" bestFit="1" customWidth="1"/>
    <col min="11272" max="11520" width="9.140625" style="664"/>
    <col min="11521" max="11521" width="23.42578125" style="664" customWidth="1"/>
    <col min="11522" max="11522" width="25.85546875" style="664" customWidth="1"/>
    <col min="11523" max="11524" width="9.140625" style="664"/>
    <col min="11525" max="11525" width="18.140625" style="664" customWidth="1"/>
    <col min="11526" max="11526" width="9.140625" style="664"/>
    <col min="11527" max="11527" width="11.28515625" style="664" bestFit="1" customWidth="1"/>
    <col min="11528" max="11776" width="9.140625" style="664"/>
    <col min="11777" max="11777" width="23.42578125" style="664" customWidth="1"/>
    <col min="11778" max="11778" width="25.85546875" style="664" customWidth="1"/>
    <col min="11779" max="11780" width="9.140625" style="664"/>
    <col min="11781" max="11781" width="18.140625" style="664" customWidth="1"/>
    <col min="11782" max="11782" width="9.140625" style="664"/>
    <col min="11783" max="11783" width="11.28515625" style="664" bestFit="1" customWidth="1"/>
    <col min="11784" max="12032" width="9.140625" style="664"/>
    <col min="12033" max="12033" width="23.42578125" style="664" customWidth="1"/>
    <col min="12034" max="12034" width="25.85546875" style="664" customWidth="1"/>
    <col min="12035" max="12036" width="9.140625" style="664"/>
    <col min="12037" max="12037" width="18.140625" style="664" customWidth="1"/>
    <col min="12038" max="12038" width="9.140625" style="664"/>
    <col min="12039" max="12039" width="11.28515625" style="664" bestFit="1" customWidth="1"/>
    <col min="12040" max="12288" width="9.140625" style="664"/>
    <col min="12289" max="12289" width="23.42578125" style="664" customWidth="1"/>
    <col min="12290" max="12290" width="25.85546875" style="664" customWidth="1"/>
    <col min="12291" max="12292" width="9.140625" style="664"/>
    <col min="12293" max="12293" width="18.140625" style="664" customWidth="1"/>
    <col min="12294" max="12294" width="9.140625" style="664"/>
    <col min="12295" max="12295" width="11.28515625" style="664" bestFit="1" customWidth="1"/>
    <col min="12296" max="12544" width="9.140625" style="664"/>
    <col min="12545" max="12545" width="23.42578125" style="664" customWidth="1"/>
    <col min="12546" max="12546" width="25.85546875" style="664" customWidth="1"/>
    <col min="12547" max="12548" width="9.140625" style="664"/>
    <col min="12549" max="12549" width="18.140625" style="664" customWidth="1"/>
    <col min="12550" max="12550" width="9.140625" style="664"/>
    <col min="12551" max="12551" width="11.28515625" style="664" bestFit="1" customWidth="1"/>
    <col min="12552" max="12800" width="9.140625" style="664"/>
    <col min="12801" max="12801" width="23.42578125" style="664" customWidth="1"/>
    <col min="12802" max="12802" width="25.85546875" style="664" customWidth="1"/>
    <col min="12803" max="12804" width="9.140625" style="664"/>
    <col min="12805" max="12805" width="18.140625" style="664" customWidth="1"/>
    <col min="12806" max="12806" width="9.140625" style="664"/>
    <col min="12807" max="12807" width="11.28515625" style="664" bestFit="1" customWidth="1"/>
    <col min="12808" max="13056" width="9.140625" style="664"/>
    <col min="13057" max="13057" width="23.42578125" style="664" customWidth="1"/>
    <col min="13058" max="13058" width="25.85546875" style="664" customWidth="1"/>
    <col min="13059" max="13060" width="9.140625" style="664"/>
    <col min="13061" max="13061" width="18.140625" style="664" customWidth="1"/>
    <col min="13062" max="13062" width="9.140625" style="664"/>
    <col min="13063" max="13063" width="11.28515625" style="664" bestFit="1" customWidth="1"/>
    <col min="13064" max="13312" width="9.140625" style="664"/>
    <col min="13313" max="13313" width="23.42578125" style="664" customWidth="1"/>
    <col min="13314" max="13314" width="25.85546875" style="664" customWidth="1"/>
    <col min="13315" max="13316" width="9.140625" style="664"/>
    <col min="13317" max="13317" width="18.140625" style="664" customWidth="1"/>
    <col min="13318" max="13318" width="9.140625" style="664"/>
    <col min="13319" max="13319" width="11.28515625" style="664" bestFit="1" customWidth="1"/>
    <col min="13320" max="13568" width="9.140625" style="664"/>
    <col min="13569" max="13569" width="23.42578125" style="664" customWidth="1"/>
    <col min="13570" max="13570" width="25.85546875" style="664" customWidth="1"/>
    <col min="13571" max="13572" width="9.140625" style="664"/>
    <col min="13573" max="13573" width="18.140625" style="664" customWidth="1"/>
    <col min="13574" max="13574" width="9.140625" style="664"/>
    <col min="13575" max="13575" width="11.28515625" style="664" bestFit="1" customWidth="1"/>
    <col min="13576" max="13824" width="9.140625" style="664"/>
    <col min="13825" max="13825" width="23.42578125" style="664" customWidth="1"/>
    <col min="13826" max="13826" width="25.85546875" style="664" customWidth="1"/>
    <col min="13827" max="13828" width="9.140625" style="664"/>
    <col min="13829" max="13829" width="18.140625" style="664" customWidth="1"/>
    <col min="13830" max="13830" width="9.140625" style="664"/>
    <col min="13831" max="13831" width="11.28515625" style="664" bestFit="1" customWidth="1"/>
    <col min="13832" max="14080" width="9.140625" style="664"/>
    <col min="14081" max="14081" width="23.42578125" style="664" customWidth="1"/>
    <col min="14082" max="14082" width="25.85546875" style="664" customWidth="1"/>
    <col min="14083" max="14084" width="9.140625" style="664"/>
    <col min="14085" max="14085" width="18.140625" style="664" customWidth="1"/>
    <col min="14086" max="14086" width="9.140625" style="664"/>
    <col min="14087" max="14087" width="11.28515625" style="664" bestFit="1" customWidth="1"/>
    <col min="14088" max="14336" width="9.140625" style="664"/>
    <col min="14337" max="14337" width="23.42578125" style="664" customWidth="1"/>
    <col min="14338" max="14338" width="25.85546875" style="664" customWidth="1"/>
    <col min="14339" max="14340" width="9.140625" style="664"/>
    <col min="14341" max="14341" width="18.140625" style="664" customWidth="1"/>
    <col min="14342" max="14342" width="9.140625" style="664"/>
    <col min="14343" max="14343" width="11.28515625" style="664" bestFit="1" customWidth="1"/>
    <col min="14344" max="14592" width="9.140625" style="664"/>
    <col min="14593" max="14593" width="23.42578125" style="664" customWidth="1"/>
    <col min="14594" max="14594" width="25.85546875" style="664" customWidth="1"/>
    <col min="14595" max="14596" width="9.140625" style="664"/>
    <col min="14597" max="14597" width="18.140625" style="664" customWidth="1"/>
    <col min="14598" max="14598" width="9.140625" style="664"/>
    <col min="14599" max="14599" width="11.28515625" style="664" bestFit="1" customWidth="1"/>
    <col min="14600" max="14848" width="9.140625" style="664"/>
    <col min="14849" max="14849" width="23.42578125" style="664" customWidth="1"/>
    <col min="14850" max="14850" width="25.85546875" style="664" customWidth="1"/>
    <col min="14851" max="14852" width="9.140625" style="664"/>
    <col min="14853" max="14853" width="18.140625" style="664" customWidth="1"/>
    <col min="14854" max="14854" width="9.140625" style="664"/>
    <col min="14855" max="14855" width="11.28515625" style="664" bestFit="1" customWidth="1"/>
    <col min="14856" max="15104" width="9.140625" style="664"/>
    <col min="15105" max="15105" width="23.42578125" style="664" customWidth="1"/>
    <col min="15106" max="15106" width="25.85546875" style="664" customWidth="1"/>
    <col min="15107" max="15108" width="9.140625" style="664"/>
    <col min="15109" max="15109" width="18.140625" style="664" customWidth="1"/>
    <col min="15110" max="15110" width="9.140625" style="664"/>
    <col min="15111" max="15111" width="11.28515625" style="664" bestFit="1" customWidth="1"/>
    <col min="15112" max="15360" width="9.140625" style="664"/>
    <col min="15361" max="15361" width="23.42578125" style="664" customWidth="1"/>
    <col min="15362" max="15362" width="25.85546875" style="664" customWidth="1"/>
    <col min="15363" max="15364" width="9.140625" style="664"/>
    <col min="15365" max="15365" width="18.140625" style="664" customWidth="1"/>
    <col min="15366" max="15366" width="9.140625" style="664"/>
    <col min="15367" max="15367" width="11.28515625" style="664" bestFit="1" customWidth="1"/>
    <col min="15368" max="15616" width="9.140625" style="664"/>
    <col min="15617" max="15617" width="23.42578125" style="664" customWidth="1"/>
    <col min="15618" max="15618" width="25.85546875" style="664" customWidth="1"/>
    <col min="15619" max="15620" width="9.140625" style="664"/>
    <col min="15621" max="15621" width="18.140625" style="664" customWidth="1"/>
    <col min="15622" max="15622" width="9.140625" style="664"/>
    <col min="15623" max="15623" width="11.28515625" style="664" bestFit="1" customWidth="1"/>
    <col min="15624" max="15872" width="9.140625" style="664"/>
    <col min="15873" max="15873" width="23.42578125" style="664" customWidth="1"/>
    <col min="15874" max="15874" width="25.85546875" style="664" customWidth="1"/>
    <col min="15875" max="15876" width="9.140625" style="664"/>
    <col min="15877" max="15877" width="18.140625" style="664" customWidth="1"/>
    <col min="15878" max="15878" width="9.140625" style="664"/>
    <col min="15879" max="15879" width="11.28515625" style="664" bestFit="1" customWidth="1"/>
    <col min="15880" max="16128" width="9.140625" style="664"/>
    <col min="16129" max="16129" width="23.42578125" style="664" customWidth="1"/>
    <col min="16130" max="16130" width="25.85546875" style="664" customWidth="1"/>
    <col min="16131" max="16132" width="9.140625" style="664"/>
    <col min="16133" max="16133" width="18.140625" style="664" customWidth="1"/>
    <col min="16134" max="16134" width="9.140625" style="664"/>
    <col min="16135" max="16135" width="11.28515625" style="664" bestFit="1" customWidth="1"/>
    <col min="16136" max="16384" width="9.140625" style="664"/>
  </cols>
  <sheetData>
    <row r="1" spans="1:8" ht="16.5" customHeight="1" thickBot="1" x14ac:dyDescent="0.25">
      <c r="A1" s="814" t="s">
        <v>446</v>
      </c>
      <c r="B1" s="815"/>
      <c r="C1" s="663"/>
      <c r="E1" s="576" t="s">
        <v>447</v>
      </c>
      <c r="F1" s="576"/>
      <c r="G1" s="577"/>
    </row>
    <row r="2" spans="1:8" ht="13.5" thickBot="1" x14ac:dyDescent="0.25">
      <c r="A2" s="665" t="s">
        <v>448</v>
      </c>
      <c r="B2" s="665" t="s">
        <v>449</v>
      </c>
      <c r="C2" s="576"/>
      <c r="E2" s="666" t="s">
        <v>450</v>
      </c>
      <c r="F2" s="667" t="s">
        <v>451</v>
      </c>
      <c r="G2" s="667" t="s">
        <v>452</v>
      </c>
      <c r="H2" s="577"/>
    </row>
    <row r="3" spans="1:8" ht="13.5" thickBot="1" x14ac:dyDescent="0.25">
      <c r="A3" s="668" t="s">
        <v>453</v>
      </c>
      <c r="B3" s="669">
        <v>5.9299999999999999E-4</v>
      </c>
      <c r="C3" s="577"/>
      <c r="E3" s="670"/>
      <c r="F3" s="671">
        <v>1</v>
      </c>
      <c r="G3" s="638">
        <f>F3*3.6</f>
        <v>3.6</v>
      </c>
      <c r="H3" s="577"/>
    </row>
    <row r="4" spans="1:8" ht="13.5" thickBot="1" x14ac:dyDescent="0.25">
      <c r="A4" s="668" t="s">
        <v>454</v>
      </c>
      <c r="B4" s="669">
        <v>7.9699999999999997E-4</v>
      </c>
      <c r="C4" s="577"/>
      <c r="E4" s="666" t="s">
        <v>455</v>
      </c>
      <c r="F4" s="667" t="s">
        <v>456</v>
      </c>
      <c r="G4" s="667" t="s">
        <v>451</v>
      </c>
      <c r="H4" s="577"/>
    </row>
    <row r="5" spans="1:8" ht="13.5" thickBot="1" x14ac:dyDescent="0.25">
      <c r="A5" s="668" t="s">
        <v>457</v>
      </c>
      <c r="B5" s="669">
        <v>1.0070000000000001E-3</v>
      </c>
      <c r="C5" s="577"/>
      <c r="E5" s="670"/>
      <c r="F5" s="671">
        <v>1</v>
      </c>
      <c r="G5" s="638">
        <f>F5*0.278</f>
        <v>0.27800000000000002</v>
      </c>
      <c r="H5" s="577"/>
    </row>
    <row r="6" spans="1:8" ht="13.5" thickBot="1" x14ac:dyDescent="0.25">
      <c r="A6" s="668" t="s">
        <v>458</v>
      </c>
      <c r="B6" s="669">
        <v>5.3300000000000005E-4</v>
      </c>
      <c r="C6" s="577"/>
      <c r="E6" s="666" t="s">
        <v>459</v>
      </c>
      <c r="F6" s="667" t="s">
        <v>460</v>
      </c>
      <c r="G6" s="667" t="s">
        <v>452</v>
      </c>
      <c r="H6" s="577"/>
    </row>
    <row r="7" spans="1:8" ht="13.5" thickBot="1" x14ac:dyDescent="0.25">
      <c r="A7" s="668" t="s">
        <v>461</v>
      </c>
      <c r="B7" s="669">
        <v>6.8999999999999997E-4</v>
      </c>
      <c r="C7" s="577"/>
      <c r="E7" s="670"/>
      <c r="F7" s="671">
        <v>1</v>
      </c>
      <c r="G7" s="672">
        <f>F7*1000000</f>
        <v>1000000</v>
      </c>
      <c r="H7" s="577"/>
    </row>
    <row r="8" spans="1:8" ht="13.5" thickBot="1" x14ac:dyDescent="0.25">
      <c r="A8" s="668" t="s">
        <v>462</v>
      </c>
      <c r="B8" s="669">
        <v>8.3600000000000005E-4</v>
      </c>
      <c r="C8" s="577"/>
      <c r="E8" s="666" t="s">
        <v>463</v>
      </c>
      <c r="F8" s="667" t="s">
        <v>460</v>
      </c>
      <c r="G8" s="667" t="s">
        <v>451</v>
      </c>
      <c r="H8" s="577"/>
    </row>
    <row r="9" spans="1:8" ht="13.5" thickBot="1" x14ac:dyDescent="0.25">
      <c r="A9" s="668" t="s">
        <v>464</v>
      </c>
      <c r="B9" s="669">
        <v>6.2100000000000002E-4</v>
      </c>
      <c r="C9" s="577"/>
      <c r="E9" s="670"/>
      <c r="F9" s="671">
        <v>1</v>
      </c>
      <c r="G9" s="672">
        <f>F9*277800</f>
        <v>277800</v>
      </c>
      <c r="H9" s="577"/>
    </row>
    <row r="10" spans="1:8" x14ac:dyDescent="0.2">
      <c r="A10" s="668" t="s">
        <v>465</v>
      </c>
      <c r="B10" s="669">
        <v>9.8900000000000008E-4</v>
      </c>
      <c r="C10" s="577"/>
    </row>
    <row r="11" spans="1:8" x14ac:dyDescent="0.2">
      <c r="A11" s="668" t="s">
        <v>466</v>
      </c>
      <c r="B11" s="669">
        <v>4.4000000000000002E-4</v>
      </c>
      <c r="C11" s="577"/>
    </row>
    <row r="12" spans="1:8" x14ac:dyDescent="0.2">
      <c r="A12" s="668" t="s">
        <v>467</v>
      </c>
      <c r="B12" s="669">
        <v>5.5599999999999996E-4</v>
      </c>
      <c r="C12" s="577"/>
    </row>
    <row r="13" spans="1:8" x14ac:dyDescent="0.2">
      <c r="A13" s="668" t="s">
        <v>468</v>
      </c>
      <c r="B13" s="669">
        <v>3.3000000000000003E-5</v>
      </c>
      <c r="C13" s="577"/>
    </row>
    <row r="14" spans="1:8" x14ac:dyDescent="0.2">
      <c r="A14" s="668" t="s">
        <v>469</v>
      </c>
      <c r="B14" s="669">
        <v>4.0999999999999999E-4</v>
      </c>
      <c r="C14" s="577"/>
    </row>
    <row r="15" spans="1:8" x14ac:dyDescent="0.2">
      <c r="A15" s="668" t="s">
        <v>470</v>
      </c>
      <c r="B15" s="669">
        <v>4.86E-4</v>
      </c>
      <c r="C15" s="577"/>
    </row>
    <row r="16" spans="1:8" x14ac:dyDescent="0.2">
      <c r="A16" s="668" t="s">
        <v>471</v>
      </c>
      <c r="B16" s="669">
        <v>2.1000000000000001E-4</v>
      </c>
      <c r="C16" s="577"/>
    </row>
    <row r="17" spans="1:3" x14ac:dyDescent="0.2">
      <c r="A17" s="668" t="s">
        <v>472</v>
      </c>
      <c r="B17" s="669">
        <v>6.0300000000000002E-4</v>
      </c>
      <c r="C17" s="577"/>
    </row>
    <row r="18" spans="1:3" x14ac:dyDescent="0.2">
      <c r="A18" s="668" t="s">
        <v>473</v>
      </c>
      <c r="B18" s="669">
        <v>3.2499999999999999E-4</v>
      </c>
      <c r="C18" s="577"/>
    </row>
    <row r="19" spans="1:3" x14ac:dyDescent="0.2">
      <c r="A19" s="668" t="s">
        <v>474</v>
      </c>
      <c r="B19" s="669">
        <v>2.32E-4</v>
      </c>
      <c r="C19" s="577"/>
    </row>
    <row r="20" spans="1:3" ht="76.5" x14ac:dyDescent="0.2">
      <c r="A20" s="673" t="s">
        <v>475</v>
      </c>
      <c r="B20" s="668"/>
      <c r="C20" s="577"/>
    </row>
    <row r="22" spans="1:3" x14ac:dyDescent="0.2">
      <c r="A22" s="674" t="s">
        <v>476</v>
      </c>
      <c r="B22" s="674" t="s">
        <v>449</v>
      </c>
      <c r="C22" s="576"/>
    </row>
    <row r="23" spans="1:3" x14ac:dyDescent="0.2">
      <c r="A23" s="668" t="s">
        <v>477</v>
      </c>
      <c r="B23" s="669">
        <v>6.87E-4</v>
      </c>
      <c r="C23" s="577"/>
    </row>
    <row r="24" spans="1:3" x14ac:dyDescent="0.2">
      <c r="A24" s="668" t="s">
        <v>478</v>
      </c>
      <c r="B24" s="669">
        <v>3.28E-4</v>
      </c>
      <c r="C24" s="577"/>
    </row>
    <row r="25" spans="1:3" x14ac:dyDescent="0.2">
      <c r="A25" s="668" t="s">
        <v>479</v>
      </c>
      <c r="B25" s="669">
        <v>9.3800000000000003E-4</v>
      </c>
      <c r="C25" s="577"/>
    </row>
    <row r="26" spans="1:3" x14ac:dyDescent="0.2">
      <c r="A26" s="668" t="s">
        <v>480</v>
      </c>
      <c r="B26" s="669">
        <v>9.5200000000000005E-4</v>
      </c>
      <c r="C26" s="577"/>
    </row>
    <row r="27" spans="1:3" x14ac:dyDescent="0.2">
      <c r="A27" s="668" t="s">
        <v>481</v>
      </c>
      <c r="B27" s="669">
        <v>6.7400000000000001E-4</v>
      </c>
      <c r="C27" s="577"/>
    </row>
    <row r="28" spans="1:3" x14ac:dyDescent="0.2">
      <c r="A28" s="668" t="s">
        <v>482</v>
      </c>
      <c r="B28" s="669">
        <v>4.8000000000000001E-4</v>
      </c>
      <c r="C28" s="577"/>
    </row>
    <row r="29" spans="1:3" x14ac:dyDescent="0.2">
      <c r="A29" s="668" t="s">
        <v>483</v>
      </c>
      <c r="B29" s="669">
        <v>6.8300000000000001E-4</v>
      </c>
      <c r="C29" s="577"/>
    </row>
    <row r="30" spans="1:3" x14ac:dyDescent="0.2">
      <c r="A30" s="668" t="s">
        <v>484</v>
      </c>
      <c r="B30" s="669">
        <v>2.4000000000000001E-5</v>
      </c>
      <c r="C30" s="577"/>
    </row>
    <row r="31" spans="1:3" x14ac:dyDescent="0.2">
      <c r="A31" s="668" t="s">
        <v>485</v>
      </c>
      <c r="B31" s="669">
        <v>2.5599999999999999E-4</v>
      </c>
      <c r="C31" s="577"/>
    </row>
    <row r="32" spans="1:3" x14ac:dyDescent="0.2">
      <c r="A32" s="668" t="s">
        <v>486</v>
      </c>
      <c r="B32" s="669">
        <v>1.8900000000000001E-4</v>
      </c>
      <c r="C32" s="577"/>
    </row>
    <row r="33" spans="1:5" x14ac:dyDescent="0.2">
      <c r="A33" s="668" t="s">
        <v>487</v>
      </c>
      <c r="B33" s="669">
        <v>2.5000000000000001E-4</v>
      </c>
      <c r="C33" s="577"/>
    </row>
    <row r="34" spans="1:5" x14ac:dyDescent="0.2">
      <c r="A34" s="668" t="s">
        <v>488</v>
      </c>
      <c r="B34" s="669">
        <v>6.3199999999999997E-4</v>
      </c>
      <c r="C34" s="577"/>
    </row>
    <row r="35" spans="1:5" x14ac:dyDescent="0.2">
      <c r="A35" s="668" t="s">
        <v>489</v>
      </c>
      <c r="B35" s="669">
        <v>7.3899999999999997E-4</v>
      </c>
      <c r="C35" s="577"/>
    </row>
    <row r="36" spans="1:5" x14ac:dyDescent="0.2">
      <c r="A36" s="668" t="s">
        <v>490</v>
      </c>
      <c r="B36" s="669">
        <v>9.9999999999999995E-7</v>
      </c>
      <c r="C36" s="577"/>
    </row>
    <row r="37" spans="1:5" x14ac:dyDescent="0.2">
      <c r="A37" s="668" t="s">
        <v>491</v>
      </c>
      <c r="B37" s="669">
        <v>1.7E-5</v>
      </c>
      <c r="C37" s="577"/>
      <c r="E37" s="675"/>
    </row>
    <row r="38" spans="1:5" x14ac:dyDescent="0.2">
      <c r="A38" s="668" t="s">
        <v>492</v>
      </c>
      <c r="B38" s="669">
        <v>3.6499999999999998E-4</v>
      </c>
      <c r="C38" s="577"/>
    </row>
    <row r="39" spans="1:5" x14ac:dyDescent="0.2">
      <c r="A39" s="668" t="s">
        <v>493</v>
      </c>
      <c r="B39" s="669">
        <v>9.2000000000000003E-4</v>
      </c>
      <c r="C39" s="577"/>
    </row>
    <row r="40" spans="1:5" x14ac:dyDescent="0.2">
      <c r="A40" s="668" t="s">
        <v>494</v>
      </c>
      <c r="B40" s="669">
        <v>8.6200000000000003E-4</v>
      </c>
      <c r="C40" s="577"/>
    </row>
    <row r="41" spans="1:5" x14ac:dyDescent="0.2">
      <c r="A41" s="668" t="s">
        <v>495</v>
      </c>
      <c r="B41" s="669">
        <v>4.4700000000000002E-4</v>
      </c>
      <c r="C41" s="577"/>
    </row>
    <row r="42" spans="1:5" x14ac:dyDescent="0.2">
      <c r="A42" s="668" t="s">
        <v>496</v>
      </c>
      <c r="B42" s="669">
        <v>3.4999999999999997E-5</v>
      </c>
      <c r="C42" s="577"/>
    </row>
    <row r="43" spans="1:5" x14ac:dyDescent="0.2">
      <c r="A43" s="668" t="s">
        <v>497</v>
      </c>
      <c r="B43" s="669">
        <v>1.1540000000000001E-3</v>
      </c>
      <c r="C43" s="577"/>
    </row>
    <row r="44" spans="1:5" x14ac:dyDescent="0.2">
      <c r="A44" s="668" t="s">
        <v>498</v>
      </c>
      <c r="B44" s="669">
        <v>5.6400000000000005E-4</v>
      </c>
      <c r="C44" s="577"/>
    </row>
    <row r="45" spans="1:5" x14ac:dyDescent="0.2">
      <c r="A45" s="668" t="s">
        <v>499</v>
      </c>
      <c r="B45" s="669">
        <v>5.5800000000000001E-4</v>
      </c>
      <c r="C45" s="577"/>
    </row>
    <row r="46" spans="1:5" x14ac:dyDescent="0.2">
      <c r="A46" s="668" t="s">
        <v>500</v>
      </c>
      <c r="B46" s="669">
        <v>7.7899999999999996E-4</v>
      </c>
      <c r="C46" s="577"/>
    </row>
    <row r="47" spans="1:5" x14ac:dyDescent="0.2">
      <c r="A47" s="668" t="s">
        <v>501</v>
      </c>
      <c r="B47" s="669">
        <v>6.29E-4</v>
      </c>
      <c r="C47" s="577"/>
    </row>
    <row r="48" spans="1:5" ht="165.75" x14ac:dyDescent="0.2">
      <c r="A48" s="673" t="s">
        <v>502</v>
      </c>
      <c r="B48" s="668"/>
      <c r="C48" s="577"/>
    </row>
    <row r="49" spans="1:3" x14ac:dyDescent="0.2">
      <c r="A49" s="577"/>
      <c r="B49" s="577"/>
      <c r="C49" s="577"/>
    </row>
    <row r="50" spans="1:3" x14ac:dyDescent="0.2">
      <c r="A50" s="674" t="s">
        <v>503</v>
      </c>
      <c r="B50" s="674" t="s">
        <v>504</v>
      </c>
      <c r="C50" s="576"/>
    </row>
    <row r="51" spans="1:3" x14ac:dyDescent="0.2">
      <c r="A51" s="668" t="s">
        <v>505</v>
      </c>
      <c r="B51" s="669">
        <v>8.5099999999999998E-4</v>
      </c>
      <c r="C51" s="577"/>
    </row>
    <row r="52" spans="1:3" x14ac:dyDescent="0.2">
      <c r="A52" s="668" t="s">
        <v>506</v>
      </c>
      <c r="B52" s="669">
        <v>5.8E-4</v>
      </c>
      <c r="C52" s="577"/>
    </row>
    <row r="53" spans="1:3" x14ac:dyDescent="0.2">
      <c r="A53" s="668" t="s">
        <v>507</v>
      </c>
      <c r="B53" s="669">
        <v>5.44E-4</v>
      </c>
      <c r="C53" s="577"/>
    </row>
    <row r="54" spans="1:3" x14ac:dyDescent="0.2">
      <c r="A54" s="668" t="s">
        <v>508</v>
      </c>
      <c r="B54" s="669">
        <v>8.2299999999999995E-4</v>
      </c>
      <c r="C54" s="577"/>
    </row>
    <row r="55" spans="1:3" x14ac:dyDescent="0.2">
      <c r="A55" s="668" t="s">
        <v>509</v>
      </c>
      <c r="B55" s="669">
        <v>7.3700000000000002E-4</v>
      </c>
      <c r="C55" s="577"/>
    </row>
    <row r="56" spans="1:3" x14ac:dyDescent="0.2">
      <c r="A56" s="668" t="s">
        <v>510</v>
      </c>
      <c r="B56" s="669">
        <v>6.7199999999999996E-4</v>
      </c>
      <c r="C56" s="577"/>
    </row>
    <row r="57" spans="1:3" x14ac:dyDescent="0.2">
      <c r="A57" s="668" t="s">
        <v>511</v>
      </c>
      <c r="B57" s="669">
        <v>8.1499999999999997E-4</v>
      </c>
      <c r="C57" s="577"/>
    </row>
    <row r="58" spans="1:3" x14ac:dyDescent="0.2">
      <c r="A58" s="668" t="s">
        <v>512</v>
      </c>
      <c r="B58" s="669">
        <v>7.45E-4</v>
      </c>
      <c r="C58" s="577"/>
    </row>
    <row r="59" spans="1:3" x14ac:dyDescent="0.2">
      <c r="A59" s="668" t="s">
        <v>513</v>
      </c>
      <c r="B59" s="669">
        <v>1.1039999999999999E-3</v>
      </c>
      <c r="C59" s="577"/>
    </row>
    <row r="60" spans="1:3" x14ac:dyDescent="0.2">
      <c r="A60" s="668" t="s">
        <v>514</v>
      </c>
      <c r="B60" s="669">
        <v>4.7600000000000002E-4</v>
      </c>
      <c r="C60" s="577"/>
    </row>
    <row r="61" spans="1:3" x14ac:dyDescent="0.2">
      <c r="A61" s="668" t="s">
        <v>515</v>
      </c>
      <c r="B61" s="669">
        <v>5.6499999999999996E-4</v>
      </c>
      <c r="C61" s="577"/>
    </row>
    <row r="62" spans="1:3" x14ac:dyDescent="0.2">
      <c r="A62" s="668" t="s">
        <v>516</v>
      </c>
      <c r="B62" s="669">
        <v>7.6199999999999998E-4</v>
      </c>
      <c r="C62" s="577"/>
    </row>
    <row r="63" spans="1:3" x14ac:dyDescent="0.2">
      <c r="A63" s="577"/>
      <c r="B63" s="577"/>
      <c r="C63" s="577"/>
    </row>
    <row r="64" spans="1:3" x14ac:dyDescent="0.2">
      <c r="A64" s="577"/>
      <c r="B64" s="577"/>
      <c r="C64" s="577"/>
    </row>
    <row r="65" spans="1:3" x14ac:dyDescent="0.2">
      <c r="A65" s="674" t="s">
        <v>517</v>
      </c>
      <c r="B65" s="674" t="s">
        <v>449</v>
      </c>
      <c r="C65" s="576"/>
    </row>
    <row r="66" spans="1:3" x14ac:dyDescent="0.2">
      <c r="A66" s="668" t="s">
        <v>518</v>
      </c>
      <c r="B66" s="669">
        <v>2.0999999999999999E-5</v>
      </c>
      <c r="C66" s="577"/>
    </row>
    <row r="67" spans="1:3" x14ac:dyDescent="0.2">
      <c r="A67" s="668" t="s">
        <v>519</v>
      </c>
      <c r="B67" s="669">
        <v>4.4200000000000001E-4</v>
      </c>
      <c r="C67" s="577"/>
    </row>
    <row r="68" spans="1:3" x14ac:dyDescent="0.2">
      <c r="A68" s="668" t="s">
        <v>520</v>
      </c>
      <c r="B68" s="669">
        <v>9.2160000000000002E-3</v>
      </c>
      <c r="C68" s="577"/>
    </row>
    <row r="69" spans="1:3" x14ac:dyDescent="0.2">
      <c r="A69" s="668" t="s">
        <v>521</v>
      </c>
      <c r="B69" s="669">
        <v>1.6770000000000001E-3</v>
      </c>
      <c r="C69" s="577"/>
    </row>
    <row r="70" spans="1:3" x14ac:dyDescent="0.2">
      <c r="A70" s="668" t="s">
        <v>522</v>
      </c>
      <c r="B70" s="669">
        <v>1.572E-3</v>
      </c>
      <c r="C70" s="577"/>
    </row>
    <row r="71" spans="1:3" x14ac:dyDescent="0.2">
      <c r="A71" s="668" t="s">
        <v>523</v>
      </c>
      <c r="B71" s="669">
        <v>6.8499999999999995E-4</v>
      </c>
      <c r="C71" s="577"/>
    </row>
    <row r="72" spans="1:3" x14ac:dyDescent="0.2">
      <c r="A72" s="668" t="s">
        <v>524</v>
      </c>
      <c r="B72" s="669">
        <v>4.1800000000000002E-4</v>
      </c>
      <c r="C72" s="577"/>
    </row>
    <row r="73" spans="1:3" x14ac:dyDescent="0.2">
      <c r="A73" s="668" t="s">
        <v>525</v>
      </c>
      <c r="B73" s="669">
        <v>8.0800000000000002E-4</v>
      </c>
      <c r="C73" s="577"/>
    </row>
    <row r="74" spans="1:3" x14ac:dyDescent="0.2">
      <c r="A74" s="668" t="s">
        <v>526</v>
      </c>
      <c r="B74" s="669">
        <v>1.3999999999999999E-4</v>
      </c>
      <c r="C74" s="577"/>
    </row>
    <row r="75" spans="1:3" x14ac:dyDescent="0.2">
      <c r="A75" s="668" t="s">
        <v>527</v>
      </c>
      <c r="B75" s="669">
        <v>7.0500000000000001E-4</v>
      </c>
      <c r="C75" s="577"/>
    </row>
    <row r="76" spans="1:3" x14ac:dyDescent="0.2">
      <c r="A76" s="668" t="s">
        <v>528</v>
      </c>
      <c r="B76" s="669">
        <v>9.0019999999999996E-3</v>
      </c>
      <c r="C76" s="577"/>
    </row>
    <row r="77" spans="1:3" x14ac:dyDescent="0.2">
      <c r="A77" s="668" t="s">
        <v>529</v>
      </c>
      <c r="B77" s="669">
        <v>1.36E-4</v>
      </c>
      <c r="C77" s="577"/>
    </row>
    <row r="78" spans="1:3" x14ac:dyDescent="0.2">
      <c r="A78" s="668" t="s">
        <v>530</v>
      </c>
      <c r="B78" s="669">
        <v>9.0799999999999995E-4</v>
      </c>
      <c r="C78" s="577"/>
    </row>
    <row r="79" spans="1:3" x14ac:dyDescent="0.2">
      <c r="A79" s="668" t="s">
        <v>531</v>
      </c>
      <c r="B79" s="669">
        <v>9.9200000000000004E-4</v>
      </c>
      <c r="C79" s="577"/>
    </row>
    <row r="80" spans="1:3" x14ac:dyDescent="0.2">
      <c r="A80" s="668" t="s">
        <v>532</v>
      </c>
      <c r="B80" s="669">
        <v>1.1199999999999999E-3</v>
      </c>
      <c r="C80" s="577"/>
    </row>
    <row r="81" spans="1:3" x14ac:dyDescent="0.2">
      <c r="A81" s="668" t="s">
        <v>533</v>
      </c>
      <c r="B81" s="669">
        <v>1.7600000000000001E-3</v>
      </c>
      <c r="C81" s="577"/>
    </row>
    <row r="82" spans="1:3" x14ac:dyDescent="0.2">
      <c r="A82" s="668" t="s">
        <v>534</v>
      </c>
      <c r="B82" s="669">
        <v>3.7199999999999999E-4</v>
      </c>
      <c r="C82" s="577"/>
    </row>
    <row r="83" spans="1:3" x14ac:dyDescent="0.2">
      <c r="A83" s="668" t="s">
        <v>535</v>
      </c>
      <c r="B83" s="669">
        <v>4.5000000000000003E-5</v>
      </c>
      <c r="C83" s="577"/>
    </row>
    <row r="84" spans="1:3" x14ac:dyDescent="0.2">
      <c r="A84" s="668" t="s">
        <v>536</v>
      </c>
      <c r="B84" s="669">
        <v>1.744</v>
      </c>
      <c r="C84" s="577"/>
    </row>
    <row r="85" spans="1:3" x14ac:dyDescent="0.2">
      <c r="A85" s="668" t="s">
        <v>537</v>
      </c>
      <c r="B85" s="669">
        <v>1.317E-3</v>
      </c>
      <c r="C85" s="577"/>
    </row>
    <row r="86" spans="1:3" x14ac:dyDescent="0.2">
      <c r="A86" s="668" t="s">
        <v>538</v>
      </c>
      <c r="B86" s="669">
        <v>1.689E-3</v>
      </c>
      <c r="C86" s="577"/>
    </row>
    <row r="87" spans="1:3" x14ac:dyDescent="0.2">
      <c r="A87" s="577"/>
      <c r="B87" s="607"/>
      <c r="C87" s="577"/>
    </row>
    <row r="88" spans="1:3" x14ac:dyDescent="0.2">
      <c r="A88" s="577"/>
      <c r="B88" s="577"/>
      <c r="C88" s="577"/>
    </row>
    <row r="89" spans="1:3" x14ac:dyDescent="0.2">
      <c r="A89" s="674" t="s">
        <v>539</v>
      </c>
      <c r="B89" s="674" t="s">
        <v>449</v>
      </c>
      <c r="C89" s="576"/>
    </row>
    <row r="90" spans="1:3" x14ac:dyDescent="0.2">
      <c r="A90" s="668" t="s">
        <v>540</v>
      </c>
      <c r="B90" s="669">
        <v>3.4299999999999999E-4</v>
      </c>
      <c r="C90" s="577"/>
    </row>
    <row r="91" spans="1:3" x14ac:dyDescent="0.2">
      <c r="A91" s="668" t="s">
        <v>541</v>
      </c>
      <c r="B91" s="669">
        <v>4.8200000000000001E-4</v>
      </c>
      <c r="C91" s="577"/>
    </row>
    <row r="92" spans="1:3" x14ac:dyDescent="0.2">
      <c r="A92" s="668" t="s">
        <v>542</v>
      </c>
      <c r="B92" s="669">
        <v>5.7000000000000003E-5</v>
      </c>
      <c r="C92" s="577"/>
    </row>
    <row r="93" spans="1:3" x14ac:dyDescent="0.2">
      <c r="A93" s="668" t="s">
        <v>543</v>
      </c>
      <c r="B93" s="669">
        <v>4.6099999999999998E-4</v>
      </c>
      <c r="C93" s="577"/>
    </row>
    <row r="94" spans="1:3" x14ac:dyDescent="0.2">
      <c r="A94" s="668" t="s">
        <v>544</v>
      </c>
      <c r="B94" s="669">
        <v>1.0399999999999999E-4</v>
      </c>
      <c r="C94" s="577"/>
    </row>
    <row r="95" spans="1:3" x14ac:dyDescent="0.2">
      <c r="A95" s="668" t="s">
        <v>545</v>
      </c>
      <c r="B95" s="669">
        <v>2.4000000000000001E-5</v>
      </c>
      <c r="C95" s="577"/>
    </row>
    <row r="96" spans="1:3" x14ac:dyDescent="0.2">
      <c r="A96" s="668" t="s">
        <v>546</v>
      </c>
      <c r="B96" s="669">
        <v>8.6300000000000005E-4</v>
      </c>
      <c r="C96" s="577"/>
    </row>
    <row r="97" spans="1:3" x14ac:dyDescent="0.2">
      <c r="A97" s="668" t="s">
        <v>547</v>
      </c>
      <c r="B97" s="669">
        <v>6.5499999999999998E-4</v>
      </c>
      <c r="C97" s="577"/>
    </row>
    <row r="98" spans="1:3" x14ac:dyDescent="0.2">
      <c r="A98" s="668" t="s">
        <v>548</v>
      </c>
      <c r="B98" s="669">
        <v>2.31E-4</v>
      </c>
      <c r="C98" s="577"/>
    </row>
    <row r="99" spans="1:3" x14ac:dyDescent="0.2">
      <c r="A99" s="668" t="s">
        <v>549</v>
      </c>
      <c r="B99" s="669">
        <v>2.6899999999999998E-4</v>
      </c>
      <c r="C99" s="577"/>
    </row>
    <row r="100" spans="1:3" x14ac:dyDescent="0.2">
      <c r="A100" s="668" t="s">
        <v>550</v>
      </c>
      <c r="B100" s="669">
        <v>2.14E-4</v>
      </c>
      <c r="C100" s="577"/>
    </row>
    <row r="101" spans="1:3" x14ac:dyDescent="0.2">
      <c r="A101" s="668" t="s">
        <v>551</v>
      </c>
      <c r="B101" s="669">
        <v>4.15E-4</v>
      </c>
      <c r="C101" s="577"/>
    </row>
    <row r="102" spans="1:3" x14ac:dyDescent="0.2">
      <c r="A102" s="668" t="s">
        <v>552</v>
      </c>
      <c r="B102" s="669">
        <v>2.5999999999999998E-4</v>
      </c>
      <c r="C102" s="577"/>
    </row>
    <row r="103" spans="1:3" x14ac:dyDescent="0.2">
      <c r="A103" s="668" t="s">
        <v>553</v>
      </c>
      <c r="B103" s="669">
        <v>6.7599999999999995E-4</v>
      </c>
      <c r="C103" s="577"/>
    </row>
    <row r="104" spans="1:3" x14ac:dyDescent="0.2">
      <c r="A104" s="668" t="s">
        <v>554</v>
      </c>
      <c r="B104" s="669">
        <v>5.2700000000000002E-4</v>
      </c>
      <c r="C104" s="577"/>
    </row>
    <row r="105" spans="1:3" x14ac:dyDescent="0.2">
      <c r="A105" s="668" t="s">
        <v>555</v>
      </c>
      <c r="B105" s="669">
        <v>7.4600000000000003E-4</v>
      </c>
      <c r="C105" s="577"/>
    </row>
    <row r="106" spans="1:3" x14ac:dyDescent="0.2">
      <c r="A106" s="668" t="s">
        <v>556</v>
      </c>
      <c r="B106" s="669">
        <v>5.8500000000000002E-4</v>
      </c>
      <c r="C106" s="577"/>
    </row>
    <row r="107" spans="1:3" x14ac:dyDescent="0.2">
      <c r="A107" s="668" t="s">
        <v>557</v>
      </c>
      <c r="B107" s="669">
        <v>2.6200000000000003E-4</v>
      </c>
      <c r="C107" s="577"/>
    </row>
    <row r="108" spans="1:3" x14ac:dyDescent="0.2">
      <c r="A108" s="668" t="s">
        <v>558</v>
      </c>
      <c r="B108" s="669">
        <v>1.3100000000000001E-4</v>
      </c>
      <c r="C108" s="577"/>
    </row>
    <row r="109" spans="1:3" x14ac:dyDescent="0.2">
      <c r="A109" s="668" t="s">
        <v>559</v>
      </c>
      <c r="B109" s="669">
        <v>6.96E-4</v>
      </c>
      <c r="C109" s="577"/>
    </row>
    <row r="110" spans="1:3" x14ac:dyDescent="0.2">
      <c r="A110" s="668" t="s">
        <v>560</v>
      </c>
      <c r="B110" s="669">
        <v>1.8699999999999999E-4</v>
      </c>
      <c r="C110" s="577"/>
    </row>
    <row r="111" spans="1:3" x14ac:dyDescent="0.2">
      <c r="A111" s="668" t="s">
        <v>561</v>
      </c>
      <c r="B111" s="669">
        <v>1.9100000000000001E-4</v>
      </c>
      <c r="C111" s="577"/>
    </row>
    <row r="112" spans="1:3" x14ac:dyDescent="0.2">
      <c r="A112" s="668" t="s">
        <v>562</v>
      </c>
      <c r="B112" s="669">
        <v>4.55E-4</v>
      </c>
      <c r="C112" s="577"/>
    </row>
    <row r="113" spans="1:3" ht="114.75" x14ac:dyDescent="0.2">
      <c r="A113" s="676" t="s">
        <v>563</v>
      </c>
      <c r="B113" s="668"/>
      <c r="C113" s="577"/>
    </row>
    <row r="114" spans="1:3" x14ac:dyDescent="0.2">
      <c r="A114" s="577"/>
      <c r="B114" s="577"/>
      <c r="C114" s="577"/>
    </row>
    <row r="115" spans="1:3" x14ac:dyDescent="0.2">
      <c r="A115" s="577"/>
      <c r="B115" s="577"/>
      <c r="C115" s="577"/>
    </row>
    <row r="116" spans="1:3" x14ac:dyDescent="0.2">
      <c r="A116" s="674" t="s">
        <v>564</v>
      </c>
      <c r="B116" s="674" t="s">
        <v>449</v>
      </c>
    </row>
    <row r="117" spans="1:3" x14ac:dyDescent="0.2">
      <c r="A117" s="668" t="s">
        <v>565</v>
      </c>
      <c r="B117" s="669">
        <v>5.4000000000000001E-4</v>
      </c>
    </row>
    <row r="118" spans="1:3" x14ac:dyDescent="0.2">
      <c r="A118" s="668" t="s">
        <v>566</v>
      </c>
      <c r="B118" s="669">
        <v>6.6299999999999996E-4</v>
      </c>
    </row>
    <row r="119" spans="1:3" x14ac:dyDescent="0.2">
      <c r="A119" s="668" t="s">
        <v>539</v>
      </c>
      <c r="B119" s="669">
        <v>1.6899999999999999E-4</v>
      </c>
    </row>
    <row r="120" spans="1:3" x14ac:dyDescent="0.2">
      <c r="A120" s="668" t="s">
        <v>567</v>
      </c>
      <c r="B120" s="669">
        <v>6.8300000000000001E-4</v>
      </c>
    </row>
    <row r="121" spans="1:3" x14ac:dyDescent="0.2">
      <c r="A121" s="668" t="s">
        <v>568</v>
      </c>
      <c r="B121" s="669">
        <v>1.0070000000000001E-3</v>
      </c>
    </row>
    <row r="122" spans="1:3" x14ac:dyDescent="0.2">
      <c r="A122" s="668" t="s">
        <v>569</v>
      </c>
      <c r="B122" s="669">
        <v>1.653E-3</v>
      </c>
    </row>
    <row r="123" spans="1:3" x14ac:dyDescent="0.2">
      <c r="A123" s="668" t="s">
        <v>570</v>
      </c>
      <c r="B123" s="669">
        <v>6.1600000000000001E-4</v>
      </c>
    </row>
    <row r="124" spans="1:3" x14ac:dyDescent="0.2">
      <c r="A124" s="668" t="s">
        <v>571</v>
      </c>
      <c r="B124" s="669">
        <v>4.2000000000000002E-4</v>
      </c>
    </row>
    <row r="125" spans="1:3" x14ac:dyDescent="0.2">
      <c r="A125" s="668" t="s">
        <v>572</v>
      </c>
      <c r="B125" s="669">
        <v>4.7600000000000002E-4</v>
      </c>
    </row>
    <row r="126" spans="1:3" x14ac:dyDescent="0.2">
      <c r="A126" s="668" t="s">
        <v>573</v>
      </c>
      <c r="B126" s="669">
        <v>3.7100000000000002E-4</v>
      </c>
    </row>
    <row r="127" spans="1:3" x14ac:dyDescent="0.2">
      <c r="A127" s="668" t="s">
        <v>574</v>
      </c>
      <c r="B127" s="669">
        <v>3.6200000000000002E-4</v>
      </c>
    </row>
    <row r="128" spans="1:3" x14ac:dyDescent="0.2">
      <c r="A128" s="668" t="s">
        <v>575</v>
      </c>
      <c r="B128" s="669">
        <v>9.1200000000000005E-4</v>
      </c>
    </row>
    <row r="129" spans="1:2" x14ac:dyDescent="0.2">
      <c r="A129" s="668" t="s">
        <v>576</v>
      </c>
      <c r="B129" s="669">
        <v>7.9199999999999995E-4</v>
      </c>
    </row>
    <row r="130" spans="1:2" x14ac:dyDescent="0.2">
      <c r="A130" s="668" t="s">
        <v>577</v>
      </c>
      <c r="B130" s="669">
        <v>3.4900000000000003E-4</v>
      </c>
    </row>
    <row r="133" spans="1:2" x14ac:dyDescent="0.2">
      <c r="A133" s="664" t="s">
        <v>578</v>
      </c>
    </row>
  </sheetData>
  <sheetProtection sheet="1" objects="1" scenarios="1" selectLockedCells="1"/>
  <mergeCells count="1">
    <mergeCell ref="A1:B1"/>
  </mergeCells>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K3:O7"/>
  <sheetViews>
    <sheetView showGridLines="0" tabSelected="1" workbookViewId="0">
      <selection activeCell="M102" sqref="M102"/>
    </sheetView>
  </sheetViews>
  <sheetFormatPr defaultColWidth="9.140625" defaultRowHeight="12.75" x14ac:dyDescent="0.2"/>
  <cols>
    <col min="1" max="16384" width="9.140625" style="2"/>
  </cols>
  <sheetData>
    <row r="3" spans="11:15" x14ac:dyDescent="0.2">
      <c r="K3" s="17"/>
      <c r="L3" s="21"/>
      <c r="M3" s="21"/>
      <c r="N3" s="21"/>
      <c r="O3" s="22"/>
    </row>
    <row r="4" spans="11:15" x14ac:dyDescent="0.2">
      <c r="K4" s="738" t="s">
        <v>170</v>
      </c>
      <c r="L4" s="739"/>
      <c r="M4" s="739"/>
      <c r="N4" s="739"/>
      <c r="O4" s="740"/>
    </row>
    <row r="5" spans="11:15" x14ac:dyDescent="0.2">
      <c r="K5" s="14"/>
      <c r="L5" s="15"/>
      <c r="M5" s="15"/>
      <c r="N5" s="15"/>
      <c r="O5" s="16"/>
    </row>
    <row r="6" spans="11:15" x14ac:dyDescent="0.2">
      <c r="K6" s="816" t="s">
        <v>172</v>
      </c>
      <c r="L6" s="817"/>
      <c r="M6" s="817"/>
      <c r="N6" s="817"/>
      <c r="O6" s="818"/>
    </row>
    <row r="7" spans="11:15" x14ac:dyDescent="0.2">
      <c r="K7" s="18"/>
      <c r="L7" s="19"/>
      <c r="M7" s="19"/>
      <c r="N7" s="19"/>
      <c r="O7" s="20"/>
    </row>
  </sheetData>
  <mergeCells count="2">
    <mergeCell ref="K4:O4"/>
    <mergeCell ref="K6:O6"/>
  </mergeCells>
  <phoneticPr fontId="1" type="noConversion"/>
  <hyperlinks>
    <hyperlink ref="K4" location="Start!R1C1" display="Click here to jump back to start page" xr:uid="{00000000-0004-0000-0E00-000000000000}"/>
    <hyperlink ref="K6:O6" location="Electricity!R1C1" display="Click here to jump to calculations sheet" xr:uid="{00000000-0004-0000-0E00-000001000000}"/>
  </hyperlinks>
  <pageMargins left="0.75" right="0.75" top="1" bottom="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J3:N7"/>
  <sheetViews>
    <sheetView showGridLines="0" workbookViewId="0">
      <selection activeCell="A105" sqref="A105"/>
    </sheetView>
  </sheetViews>
  <sheetFormatPr defaultColWidth="9.140625" defaultRowHeight="12.75" x14ac:dyDescent="0.2"/>
  <cols>
    <col min="1" max="16384" width="9.140625" style="2"/>
  </cols>
  <sheetData>
    <row r="3" spans="10:14" x14ac:dyDescent="0.2">
      <c r="J3" s="17"/>
      <c r="K3" s="21"/>
      <c r="L3" s="21"/>
      <c r="M3" s="21"/>
      <c r="N3" s="22"/>
    </row>
    <row r="4" spans="10:14" x14ac:dyDescent="0.2">
      <c r="J4" s="738" t="s">
        <v>170</v>
      </c>
      <c r="K4" s="739"/>
      <c r="L4" s="739"/>
      <c r="M4" s="739"/>
      <c r="N4" s="740"/>
    </row>
    <row r="5" spans="10:14" x14ac:dyDescent="0.2">
      <c r="J5" s="14"/>
      <c r="K5" s="15"/>
      <c r="L5" s="15"/>
      <c r="M5" s="15"/>
      <c r="N5" s="16"/>
    </row>
    <row r="6" spans="10:14" x14ac:dyDescent="0.2">
      <c r="J6" s="816" t="s">
        <v>172</v>
      </c>
      <c r="K6" s="817"/>
      <c r="L6" s="817"/>
      <c r="M6" s="817"/>
      <c r="N6" s="818"/>
    </row>
    <row r="7" spans="10:14" x14ac:dyDescent="0.2">
      <c r="J7" s="18"/>
      <c r="K7" s="19"/>
      <c r="L7" s="19"/>
      <c r="M7" s="19"/>
      <c r="N7" s="20"/>
    </row>
  </sheetData>
  <mergeCells count="2">
    <mergeCell ref="J4:N4"/>
    <mergeCell ref="J6:N6"/>
  </mergeCells>
  <phoneticPr fontId="1" type="noConversion"/>
  <hyperlinks>
    <hyperlink ref="J4" location="Start!R1C1" display="Click here to jump back to start page" xr:uid="{00000000-0004-0000-0F00-000000000000}"/>
    <hyperlink ref="J6:N6" location="'Natural Gas'!R1C1" display="Click here to jump to calculations sheet" xr:uid="{00000000-0004-0000-0F00-000001000000}"/>
  </hyperlinks>
  <pageMargins left="0.75" right="0.75" top="1" bottom="1" header="0" footer="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J3:N7"/>
  <sheetViews>
    <sheetView showGridLines="0" workbookViewId="0">
      <selection activeCell="M79" sqref="M79"/>
    </sheetView>
  </sheetViews>
  <sheetFormatPr defaultColWidth="9.140625" defaultRowHeight="12.75" x14ac:dyDescent="0.2"/>
  <cols>
    <col min="1" max="16384" width="9.140625" style="2"/>
  </cols>
  <sheetData>
    <row r="3" spans="10:14" x14ac:dyDescent="0.2">
      <c r="J3" s="17"/>
      <c r="K3" s="21"/>
      <c r="L3" s="21"/>
      <c r="M3" s="21"/>
      <c r="N3" s="22"/>
    </row>
    <row r="4" spans="10:14" x14ac:dyDescent="0.2">
      <c r="J4" s="738" t="s">
        <v>170</v>
      </c>
      <c r="K4" s="739"/>
      <c r="L4" s="739"/>
      <c r="M4" s="739"/>
      <c r="N4" s="740"/>
    </row>
    <row r="5" spans="10:14" x14ac:dyDescent="0.2">
      <c r="J5" s="14"/>
      <c r="K5" s="15"/>
      <c r="L5" s="15"/>
      <c r="M5" s="15"/>
      <c r="N5" s="16"/>
    </row>
    <row r="6" spans="10:14" x14ac:dyDescent="0.2">
      <c r="J6" s="816" t="s">
        <v>172</v>
      </c>
      <c r="K6" s="817"/>
      <c r="L6" s="817"/>
      <c r="M6" s="817"/>
      <c r="N6" s="818"/>
    </row>
    <row r="7" spans="10:14" x14ac:dyDescent="0.2">
      <c r="J7" s="18"/>
      <c r="K7" s="19"/>
      <c r="L7" s="19"/>
      <c r="M7" s="19"/>
      <c r="N7" s="20"/>
    </row>
  </sheetData>
  <mergeCells count="2">
    <mergeCell ref="J4:N4"/>
    <mergeCell ref="J6:N6"/>
  </mergeCells>
  <phoneticPr fontId="1" type="noConversion"/>
  <hyperlinks>
    <hyperlink ref="J4" location="Start!R1C1" display="Click here to jump back to start page" xr:uid="{00000000-0004-0000-1000-000000000000}"/>
    <hyperlink ref="J6:N6" location="LPG!R1C1" display="Click here to jump to calculations sheet" xr:uid="{00000000-0004-0000-1000-000001000000}"/>
  </hyperlinks>
  <pageMargins left="0.75" right="0.75" top="1" bottom="1" header="0" footer="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J3:N7"/>
  <sheetViews>
    <sheetView showGridLines="0" workbookViewId="0">
      <selection activeCell="A79" sqref="A79"/>
    </sheetView>
  </sheetViews>
  <sheetFormatPr defaultColWidth="9.140625" defaultRowHeight="12.75" x14ac:dyDescent="0.2"/>
  <cols>
    <col min="1" max="16384" width="9.140625" style="2"/>
  </cols>
  <sheetData>
    <row r="3" spans="10:14" x14ac:dyDescent="0.2">
      <c r="J3" s="17"/>
      <c r="K3" s="21"/>
      <c r="L3" s="21"/>
      <c r="M3" s="21"/>
      <c r="N3" s="22"/>
    </row>
    <row r="4" spans="10:14" x14ac:dyDescent="0.2">
      <c r="J4" s="738" t="s">
        <v>170</v>
      </c>
      <c r="K4" s="739"/>
      <c r="L4" s="739"/>
      <c r="M4" s="739"/>
      <c r="N4" s="740"/>
    </row>
    <row r="5" spans="10:14" x14ac:dyDescent="0.2">
      <c r="J5" s="14"/>
      <c r="K5" s="15"/>
      <c r="L5" s="15"/>
      <c r="M5" s="15"/>
      <c r="N5" s="16"/>
    </row>
    <row r="6" spans="10:14" x14ac:dyDescent="0.2">
      <c r="J6" s="816" t="s">
        <v>172</v>
      </c>
      <c r="K6" s="817"/>
      <c r="L6" s="817"/>
      <c r="M6" s="817"/>
      <c r="N6" s="818"/>
    </row>
    <row r="7" spans="10:14" x14ac:dyDescent="0.2">
      <c r="J7" s="18"/>
      <c r="K7" s="19"/>
      <c r="L7" s="19"/>
      <c r="M7" s="19"/>
      <c r="N7" s="20"/>
    </row>
  </sheetData>
  <mergeCells count="2">
    <mergeCell ref="J4:N4"/>
    <mergeCell ref="J6:N6"/>
  </mergeCells>
  <phoneticPr fontId="1" type="noConversion"/>
  <hyperlinks>
    <hyperlink ref="J4" location="Start!R1C1" display="Click here to jump back to start page" xr:uid="{00000000-0004-0000-1100-000000000000}"/>
    <hyperlink ref="J6:N6" location="Oil!R1C1" display="Click here to jump to calculations sheet" xr:uid="{00000000-0004-0000-1100-000001000000}"/>
  </hyperlinks>
  <pageMargins left="0.75" right="0.75" top="1" bottom="1" header="0" footer="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K3:O7"/>
  <sheetViews>
    <sheetView showGridLines="0" workbookViewId="0">
      <selection activeCell="K4" sqref="K4:O4"/>
    </sheetView>
  </sheetViews>
  <sheetFormatPr defaultColWidth="9.140625" defaultRowHeight="12.75" x14ac:dyDescent="0.2"/>
  <cols>
    <col min="1" max="16384" width="9.140625" style="2"/>
  </cols>
  <sheetData>
    <row r="3" spans="11:15" x14ac:dyDescent="0.2">
      <c r="K3" s="17"/>
      <c r="L3" s="21"/>
      <c r="M3" s="21"/>
      <c r="N3" s="21"/>
      <c r="O3" s="22"/>
    </row>
    <row r="4" spans="11:15" x14ac:dyDescent="0.2">
      <c r="K4" s="738" t="s">
        <v>170</v>
      </c>
      <c r="L4" s="739"/>
      <c r="M4" s="739"/>
      <c r="N4" s="739"/>
      <c r="O4" s="740"/>
    </row>
    <row r="5" spans="11:15" x14ac:dyDescent="0.2">
      <c r="K5" s="14"/>
      <c r="L5" s="15"/>
      <c r="M5" s="15"/>
      <c r="N5" s="15"/>
      <c r="O5" s="16"/>
    </row>
    <row r="6" spans="11:15" x14ac:dyDescent="0.2">
      <c r="K6" s="816" t="s">
        <v>172</v>
      </c>
      <c r="L6" s="817"/>
      <c r="M6" s="817"/>
      <c r="N6" s="817"/>
      <c r="O6" s="818"/>
    </row>
    <row r="7" spans="11:15" x14ac:dyDescent="0.2">
      <c r="K7" s="18"/>
      <c r="L7" s="19"/>
      <c r="M7" s="19"/>
      <c r="N7" s="19"/>
      <c r="O7" s="20"/>
    </row>
  </sheetData>
  <mergeCells count="2">
    <mergeCell ref="K4:O4"/>
    <mergeCell ref="K6:O6"/>
  </mergeCells>
  <phoneticPr fontId="1" type="noConversion"/>
  <hyperlinks>
    <hyperlink ref="K4" location="Start!R1C1" display="Click here to jump back to start page" xr:uid="{00000000-0004-0000-1200-000000000000}"/>
    <hyperlink ref="K6:O6" location="Sum!R1C1" display="Click here to jump to calculations sheet" xr:uid="{00000000-0004-0000-1200-000001000000}"/>
  </hyperlinks>
  <pageMargins left="0.75" right="0.75" top="1" bottom="1" header="0" footer="0"/>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Q47"/>
  <sheetViews>
    <sheetView showGridLines="0" zoomScaleNormal="100" workbookViewId="0">
      <selection activeCell="H21" sqref="H21"/>
    </sheetView>
  </sheetViews>
  <sheetFormatPr defaultColWidth="9.140625" defaultRowHeight="12.75" x14ac:dyDescent="0.2"/>
  <cols>
    <col min="1" max="1" width="9.140625" style="443"/>
    <col min="2" max="2" width="3" style="443" customWidth="1"/>
    <col min="3" max="4" width="9.140625" style="443"/>
    <col min="5" max="5" width="10.28515625" style="443" customWidth="1"/>
    <col min="6" max="6" width="9.140625" style="443"/>
    <col min="7" max="7" width="6" style="443" customWidth="1"/>
    <col min="8" max="8" width="13.28515625" style="443" customWidth="1"/>
    <col min="9" max="9" width="12.140625" style="443" customWidth="1"/>
    <col min="10" max="10" width="12.42578125" style="443" customWidth="1"/>
    <col min="11" max="11" width="17.5703125" style="443" customWidth="1"/>
    <col min="12" max="12" width="11.140625" style="443" customWidth="1"/>
    <col min="13" max="13" width="5.42578125" style="443" customWidth="1"/>
    <col min="14" max="17" width="9.140625" style="443"/>
    <col min="18" max="18" width="3.28515625" style="443" customWidth="1"/>
    <col min="19" max="16384" width="9.140625" style="443"/>
  </cols>
  <sheetData>
    <row r="2" spans="3:17" ht="24.75" customHeight="1" x14ac:dyDescent="0.2">
      <c r="G2" s="444" t="s">
        <v>192</v>
      </c>
    </row>
    <row r="5" spans="3:17" ht="23.25" x14ac:dyDescent="0.2">
      <c r="G5" s="445" t="s">
        <v>140</v>
      </c>
      <c r="H5" s="433" t="s">
        <v>657</v>
      </c>
      <c r="I5" s="434"/>
      <c r="J5" s="434"/>
      <c r="K5" s="434"/>
      <c r="L5" s="435"/>
      <c r="N5" s="444" t="s">
        <v>36</v>
      </c>
      <c r="O5" s="436">
        <v>2017</v>
      </c>
    </row>
    <row r="7" spans="3:17" ht="16.5" customHeight="1" x14ac:dyDescent="0.2">
      <c r="G7" s="446" t="s">
        <v>141</v>
      </c>
      <c r="H7" s="437"/>
      <c r="I7" s="434"/>
      <c r="J7" s="434"/>
      <c r="K7" s="434"/>
      <c r="L7" s="435"/>
      <c r="N7" s="446" t="s">
        <v>139</v>
      </c>
      <c r="O7" s="438" t="s">
        <v>332</v>
      </c>
    </row>
    <row r="9" spans="3:17" ht="13.5" thickBot="1" x14ac:dyDescent="0.25"/>
    <row r="10" spans="3:17" ht="18.75" thickTop="1" x14ac:dyDescent="0.2">
      <c r="C10" s="447" t="s">
        <v>193</v>
      </c>
      <c r="D10" s="448"/>
      <c r="E10" s="448"/>
      <c r="F10" s="449"/>
      <c r="H10" s="450" t="s">
        <v>198</v>
      </c>
      <c r="I10" s="448"/>
      <c r="J10" s="448"/>
      <c r="K10" s="449"/>
      <c r="M10" s="451" t="s">
        <v>143</v>
      </c>
      <c r="N10" s="448"/>
      <c r="O10" s="448"/>
      <c r="P10" s="448"/>
      <c r="Q10" s="449"/>
    </row>
    <row r="11" spans="3:17" ht="6.75" customHeight="1" x14ac:dyDescent="0.2">
      <c r="C11" s="452"/>
      <c r="D11" s="453"/>
      <c r="E11" s="453"/>
      <c r="F11" s="454"/>
      <c r="H11" s="452"/>
      <c r="I11" s="453"/>
      <c r="J11" s="453"/>
      <c r="K11" s="454"/>
      <c r="M11" s="455"/>
      <c r="N11" s="453"/>
      <c r="O11" s="453"/>
      <c r="P11" s="453"/>
      <c r="Q11" s="454"/>
    </row>
    <row r="12" spans="3:17" ht="15" customHeight="1" x14ac:dyDescent="0.25">
      <c r="C12" s="456" t="s">
        <v>93</v>
      </c>
      <c r="D12" s="453"/>
      <c r="E12" s="453"/>
      <c r="F12" s="454"/>
      <c r="H12" s="456" t="s">
        <v>93</v>
      </c>
      <c r="I12" s="453"/>
      <c r="J12" s="453"/>
      <c r="K12" s="454"/>
      <c r="M12" s="457" t="s">
        <v>191</v>
      </c>
      <c r="N12" s="458"/>
      <c r="O12" s="458"/>
      <c r="P12" s="458"/>
      <c r="Q12" s="459"/>
    </row>
    <row r="13" spans="3:17" x14ac:dyDescent="0.2">
      <c r="C13" s="460" t="s">
        <v>195</v>
      </c>
      <c r="D13" s="234"/>
      <c r="E13" s="235"/>
      <c r="F13" s="461"/>
      <c r="H13" s="678" t="s">
        <v>86</v>
      </c>
      <c r="I13" s="679"/>
      <c r="J13" s="680"/>
      <c r="K13" s="463" t="s">
        <v>35</v>
      </c>
      <c r="M13" s="464"/>
      <c r="N13" s="12" t="s">
        <v>144</v>
      </c>
      <c r="O13" s="458"/>
      <c r="P13" s="458"/>
      <c r="Q13" s="459"/>
    </row>
    <row r="14" spans="3:17" x14ac:dyDescent="0.2">
      <c r="C14" s="465">
        <v>0</v>
      </c>
      <c r="D14" s="246" t="s">
        <v>78</v>
      </c>
      <c r="E14" s="246"/>
      <c r="F14" s="466"/>
      <c r="H14" s="711" t="s">
        <v>658</v>
      </c>
      <c r="I14" s="712"/>
      <c r="J14" s="712"/>
      <c r="K14" s="713">
        <v>50012345</v>
      </c>
      <c r="M14" s="464"/>
      <c r="N14" s="12" t="s">
        <v>145</v>
      </c>
      <c r="O14" s="458"/>
      <c r="P14" s="458"/>
      <c r="Q14" s="459"/>
    </row>
    <row r="15" spans="3:17" x14ac:dyDescent="0.2">
      <c r="C15" s="709">
        <v>4.8000000000000001E-4</v>
      </c>
      <c r="D15" s="259" t="s">
        <v>135</v>
      </c>
      <c r="E15" s="259"/>
      <c r="F15" s="467"/>
      <c r="H15" s="455"/>
      <c r="I15" s="468"/>
      <c r="J15" s="468"/>
      <c r="K15" s="454"/>
      <c r="M15" s="464"/>
      <c r="N15" s="12" t="s">
        <v>146</v>
      </c>
      <c r="O15" s="458"/>
      <c r="P15" s="458"/>
      <c r="Q15" s="459"/>
    </row>
    <row r="16" spans="3:17" ht="17.25" customHeight="1" x14ac:dyDescent="0.25">
      <c r="C16" s="456" t="s">
        <v>94</v>
      </c>
      <c r="D16" s="453"/>
      <c r="E16" s="453"/>
      <c r="F16" s="454"/>
      <c r="H16" s="456" t="s">
        <v>94</v>
      </c>
      <c r="I16" s="468"/>
      <c r="J16" s="468"/>
      <c r="K16" s="454"/>
      <c r="M16" s="464"/>
      <c r="N16" s="12" t="s">
        <v>147</v>
      </c>
      <c r="O16" s="458"/>
      <c r="P16" s="458"/>
      <c r="Q16" s="459"/>
    </row>
    <row r="17" spans="2:17" x14ac:dyDescent="0.2">
      <c r="C17" s="460" t="s">
        <v>195</v>
      </c>
      <c r="D17" s="234"/>
      <c r="E17" s="235"/>
      <c r="F17" s="470" t="s">
        <v>590</v>
      </c>
      <c r="H17" s="462" t="s">
        <v>86</v>
      </c>
      <c r="I17" s="679"/>
      <c r="J17" s="680"/>
      <c r="K17" s="463" t="s">
        <v>35</v>
      </c>
      <c r="M17" s="464"/>
      <c r="N17" s="12" t="s">
        <v>153</v>
      </c>
      <c r="O17" s="458"/>
      <c r="P17" s="458"/>
      <c r="Q17" s="459"/>
    </row>
    <row r="18" spans="2:17" x14ac:dyDescent="0.2">
      <c r="C18" s="710">
        <v>2.019438444924406E-4</v>
      </c>
      <c r="D18" s="246"/>
      <c r="E18" s="246"/>
      <c r="F18" s="440"/>
      <c r="H18" s="711" t="s">
        <v>659</v>
      </c>
      <c r="I18" s="712"/>
      <c r="J18" s="712"/>
      <c r="K18" s="713">
        <v>50012346</v>
      </c>
      <c r="M18" s="464"/>
      <c r="N18" s="12" t="s">
        <v>154</v>
      </c>
      <c r="O18" s="458"/>
      <c r="P18" s="458"/>
      <c r="Q18" s="459"/>
    </row>
    <row r="19" spans="2:17" ht="18" customHeight="1" x14ac:dyDescent="0.25">
      <c r="C19" s="456" t="s">
        <v>95</v>
      </c>
      <c r="D19" s="453"/>
      <c r="E19" s="453"/>
      <c r="F19" s="454"/>
      <c r="H19" s="456" t="s">
        <v>95</v>
      </c>
      <c r="I19" s="468"/>
      <c r="J19" s="468"/>
      <c r="K19" s="454"/>
      <c r="M19" s="464"/>
      <c r="N19" s="9" t="s">
        <v>156</v>
      </c>
      <c r="O19" s="458"/>
      <c r="P19" s="458"/>
      <c r="Q19" s="459"/>
    </row>
    <row r="20" spans="2:17" x14ac:dyDescent="0.2">
      <c r="C20" s="460" t="s">
        <v>195</v>
      </c>
      <c r="D20" s="234"/>
      <c r="E20" s="235"/>
      <c r="F20" s="461"/>
      <c r="H20" s="462" t="s">
        <v>86</v>
      </c>
      <c r="I20" s="679"/>
      <c r="J20" s="680"/>
      <c r="K20" s="463" t="s">
        <v>35</v>
      </c>
      <c r="M20" s="464"/>
      <c r="N20" s="9" t="s">
        <v>168</v>
      </c>
      <c r="O20" s="458"/>
      <c r="P20" s="458"/>
      <c r="Q20" s="459"/>
    </row>
    <row r="21" spans="2:17" x14ac:dyDescent="0.2">
      <c r="C21" s="439"/>
      <c r="D21" s="246"/>
      <c r="E21" s="246"/>
      <c r="F21" s="469"/>
      <c r="H21" s="711" t="s">
        <v>659</v>
      </c>
      <c r="I21" s="712"/>
      <c r="J21" s="712"/>
      <c r="K21" s="713">
        <v>50012346</v>
      </c>
      <c r="M21" s="464"/>
      <c r="N21" s="458"/>
      <c r="O21" s="458"/>
      <c r="P21" s="458"/>
      <c r="Q21" s="459"/>
    </row>
    <row r="22" spans="2:17" ht="18.75" customHeight="1" x14ac:dyDescent="0.25">
      <c r="C22" s="456" t="s">
        <v>96</v>
      </c>
      <c r="D22" s="453"/>
      <c r="E22" s="453"/>
      <c r="F22" s="454"/>
      <c r="H22" s="455"/>
      <c r="I22" s="468"/>
      <c r="J22" s="468"/>
      <c r="K22" s="454"/>
      <c r="M22" s="457" t="s">
        <v>155</v>
      </c>
      <c r="N22" s="458"/>
      <c r="O22" s="458"/>
      <c r="P22" s="458"/>
      <c r="Q22" s="459"/>
    </row>
    <row r="23" spans="2:17" ht="15" x14ac:dyDescent="0.25">
      <c r="C23" s="460" t="s">
        <v>195</v>
      </c>
      <c r="D23" s="234"/>
      <c r="E23" s="235"/>
      <c r="F23" s="470" t="s">
        <v>142</v>
      </c>
      <c r="H23" s="456" t="s">
        <v>96</v>
      </c>
      <c r="I23" s="468"/>
      <c r="J23" s="468"/>
      <c r="K23" s="454"/>
      <c r="M23" s="464"/>
      <c r="N23" s="12" t="s">
        <v>65</v>
      </c>
      <c r="O23" s="458"/>
      <c r="P23" s="458"/>
      <c r="Q23" s="459"/>
    </row>
    <row r="24" spans="2:17" x14ac:dyDescent="0.2">
      <c r="C24" s="439"/>
      <c r="D24" s="246" t="s">
        <v>64</v>
      </c>
      <c r="E24" s="246"/>
      <c r="F24" s="440"/>
      <c r="H24" s="462" t="s">
        <v>86</v>
      </c>
      <c r="I24" s="679"/>
      <c r="J24" s="680"/>
      <c r="K24" s="463" t="s">
        <v>35</v>
      </c>
      <c r="M24" s="464"/>
      <c r="N24" s="12" t="s">
        <v>66</v>
      </c>
      <c r="O24" s="458"/>
      <c r="P24" s="458"/>
      <c r="Q24" s="459"/>
    </row>
    <row r="25" spans="2:17" x14ac:dyDescent="0.2">
      <c r="C25" s="439"/>
      <c r="D25" s="246" t="s">
        <v>62</v>
      </c>
      <c r="E25" s="246"/>
      <c r="F25" s="440"/>
      <c r="H25" s="27"/>
      <c r="I25" s="34"/>
      <c r="J25" s="34"/>
      <c r="K25" s="28"/>
      <c r="M25" s="464"/>
      <c r="N25" s="12" t="s">
        <v>67</v>
      </c>
      <c r="O25" s="458"/>
      <c r="P25" s="458"/>
      <c r="Q25" s="459"/>
    </row>
    <row r="26" spans="2:17" ht="13.5" thickBot="1" x14ac:dyDescent="0.25">
      <c r="C26" s="441"/>
      <c r="D26" s="471" t="s">
        <v>63</v>
      </c>
      <c r="E26" s="471"/>
      <c r="F26" s="442"/>
      <c r="H26" s="472"/>
      <c r="I26" s="473"/>
      <c r="J26" s="473"/>
      <c r="K26" s="474"/>
      <c r="M26" s="464"/>
      <c r="N26" s="12" t="s">
        <v>68</v>
      </c>
      <c r="O26" s="458"/>
      <c r="P26" s="458"/>
      <c r="Q26" s="459"/>
    </row>
    <row r="27" spans="2:17" ht="12.75" customHeight="1" thickTop="1" x14ac:dyDescent="0.2">
      <c r="M27" s="464"/>
      <c r="N27" s="9" t="s">
        <v>157</v>
      </c>
      <c r="O27" s="458"/>
      <c r="P27" s="458"/>
      <c r="Q27" s="459"/>
    </row>
    <row r="28" spans="2:17" ht="12.75" customHeight="1" thickBot="1" x14ac:dyDescent="0.25">
      <c r="M28" s="464"/>
      <c r="N28" s="12" t="s">
        <v>154</v>
      </c>
      <c r="O28" s="458"/>
      <c r="P28" s="458"/>
      <c r="Q28" s="459"/>
    </row>
    <row r="29" spans="2:17" ht="12.75" customHeight="1" thickTop="1" x14ac:dyDescent="0.2">
      <c r="B29" s="453"/>
      <c r="C29" s="447" t="s">
        <v>199</v>
      </c>
      <c r="D29" s="448"/>
      <c r="E29" s="448"/>
      <c r="F29" s="448"/>
      <c r="G29" s="448"/>
      <c r="H29" s="448"/>
      <c r="I29" s="449"/>
      <c r="J29" s="453"/>
      <c r="M29" s="475"/>
      <c r="N29" s="9" t="s">
        <v>158</v>
      </c>
      <c r="O29" s="476"/>
      <c r="P29" s="476"/>
      <c r="Q29" s="459"/>
    </row>
    <row r="30" spans="2:17" ht="12.75" customHeight="1" x14ac:dyDescent="0.2">
      <c r="B30" s="453"/>
      <c r="C30" s="455"/>
      <c r="D30" s="453"/>
      <c r="E30" s="453"/>
      <c r="F30" s="453"/>
      <c r="G30" s="453"/>
      <c r="H30" s="453"/>
      <c r="I30" s="454"/>
      <c r="J30" s="453"/>
      <c r="M30" s="475"/>
      <c r="N30" s="9" t="s">
        <v>159</v>
      </c>
      <c r="O30" s="476"/>
      <c r="P30" s="476"/>
      <c r="Q30" s="459"/>
    </row>
    <row r="31" spans="2:17" ht="12.75" customHeight="1" x14ac:dyDescent="0.2">
      <c r="B31" s="453"/>
      <c r="C31" s="723" t="s">
        <v>194</v>
      </c>
      <c r="D31" s="724"/>
      <c r="E31" s="724"/>
      <c r="F31" s="724"/>
      <c r="G31" s="724"/>
      <c r="H31" s="724"/>
      <c r="I31" s="725"/>
      <c r="J31" s="453"/>
      <c r="M31" s="475"/>
      <c r="N31" s="9" t="s">
        <v>160</v>
      </c>
      <c r="O31" s="476"/>
      <c r="P31" s="476"/>
      <c r="Q31" s="459"/>
    </row>
    <row r="32" spans="2:17" ht="12.75" customHeight="1" x14ac:dyDescent="0.2">
      <c r="B32" s="453"/>
      <c r="C32" s="477"/>
      <c r="D32" s="478"/>
      <c r="E32" s="479"/>
      <c r="F32" s="478"/>
      <c r="G32" s="479"/>
      <c r="H32" s="478"/>
      <c r="I32" s="480"/>
      <c r="J32" s="453"/>
      <c r="M32" s="475"/>
      <c r="N32" s="9" t="s">
        <v>168</v>
      </c>
      <c r="O32" s="476"/>
      <c r="P32" s="476"/>
      <c r="Q32" s="459"/>
    </row>
    <row r="33" spans="2:17" ht="12.75" customHeight="1" x14ac:dyDescent="0.2">
      <c r="B33" s="453"/>
      <c r="C33" s="726" t="s">
        <v>136</v>
      </c>
      <c r="D33" s="727"/>
      <c r="E33" s="727"/>
      <c r="F33" s="727"/>
      <c r="G33" s="727"/>
      <c r="H33" s="727"/>
      <c r="I33" s="728"/>
      <c r="J33" s="453"/>
      <c r="M33" s="475"/>
      <c r="N33" s="458"/>
      <c r="O33" s="476"/>
      <c r="P33" s="476"/>
      <c r="Q33" s="459"/>
    </row>
    <row r="34" spans="2:17" ht="18.75" customHeight="1" x14ac:dyDescent="0.2">
      <c r="B34" s="453"/>
      <c r="C34" s="477"/>
      <c r="D34" s="478"/>
      <c r="E34" s="479"/>
      <c r="F34" s="478"/>
      <c r="G34" s="479"/>
      <c r="H34" s="478"/>
      <c r="I34" s="480"/>
      <c r="J34" s="453"/>
      <c r="M34" s="457" t="s">
        <v>581</v>
      </c>
      <c r="N34" s="476"/>
      <c r="O34" s="476"/>
      <c r="P34" s="476"/>
      <c r="Q34" s="459"/>
    </row>
    <row r="35" spans="2:17" ht="12.75" customHeight="1" x14ac:dyDescent="0.2">
      <c r="B35" s="453"/>
      <c r="C35" s="729" t="s">
        <v>137</v>
      </c>
      <c r="D35" s="730"/>
      <c r="E35" s="730"/>
      <c r="F35" s="730"/>
      <c r="G35" s="730"/>
      <c r="H35" s="730"/>
      <c r="I35" s="731"/>
      <c r="J35" s="453"/>
      <c r="M35" s="475"/>
      <c r="N35" s="9" t="s">
        <v>580</v>
      </c>
      <c r="O35" s="476"/>
      <c r="P35" s="476"/>
      <c r="Q35" s="459"/>
    </row>
    <row r="36" spans="2:17" ht="12.75" customHeight="1" x14ac:dyDescent="0.2">
      <c r="B36" s="453"/>
      <c r="C36" s="477"/>
      <c r="D36" s="478"/>
      <c r="E36" s="479"/>
      <c r="F36" s="478"/>
      <c r="G36" s="479"/>
      <c r="H36" s="478"/>
      <c r="I36" s="480"/>
      <c r="J36" s="453"/>
      <c r="M36" s="475"/>
      <c r="N36" s="9" t="s">
        <v>581</v>
      </c>
      <c r="O36" s="476"/>
      <c r="P36" s="476"/>
      <c r="Q36" s="459"/>
    </row>
    <row r="37" spans="2:17" ht="12.75" customHeight="1" x14ac:dyDescent="0.2">
      <c r="B37" s="453"/>
      <c r="C37" s="735" t="s">
        <v>196</v>
      </c>
      <c r="D37" s="736"/>
      <c r="E37" s="736"/>
      <c r="F37" s="736"/>
      <c r="G37" s="736"/>
      <c r="H37" s="736"/>
      <c r="I37" s="737"/>
      <c r="J37" s="453"/>
      <c r="M37" s="475"/>
      <c r="N37" s="9" t="s">
        <v>582</v>
      </c>
      <c r="O37" s="476"/>
      <c r="P37" s="476"/>
      <c r="Q37" s="459"/>
    </row>
    <row r="38" spans="2:17" ht="12.75" customHeight="1" x14ac:dyDescent="0.2">
      <c r="B38" s="453"/>
      <c r="C38" s="484"/>
      <c r="D38" s="479"/>
      <c r="E38" s="479"/>
      <c r="F38" s="479"/>
      <c r="G38" s="479"/>
      <c r="H38" s="479"/>
      <c r="I38" s="480"/>
      <c r="J38" s="453"/>
      <c r="M38" s="475"/>
      <c r="N38" s="458"/>
      <c r="O38" s="476"/>
      <c r="P38" s="476"/>
      <c r="Q38" s="459"/>
    </row>
    <row r="39" spans="2:17" ht="12.75" customHeight="1" thickBot="1" x14ac:dyDescent="0.25">
      <c r="B39" s="453"/>
      <c r="C39" s="732" t="s">
        <v>138</v>
      </c>
      <c r="D39" s="733"/>
      <c r="E39" s="733"/>
      <c r="F39" s="733"/>
      <c r="G39" s="733"/>
      <c r="H39" s="733"/>
      <c r="I39" s="734"/>
      <c r="J39" s="453"/>
      <c r="M39" s="481"/>
      <c r="N39" s="677"/>
      <c r="O39" s="482"/>
      <c r="P39" s="482"/>
      <c r="Q39" s="483"/>
    </row>
    <row r="40" spans="2:17" ht="12.75" customHeight="1" thickTop="1" thickBot="1" x14ac:dyDescent="0.25">
      <c r="B40" s="453"/>
      <c r="C40" s="472"/>
      <c r="D40" s="473"/>
      <c r="E40" s="473"/>
      <c r="F40" s="473"/>
      <c r="G40" s="473"/>
      <c r="H40" s="473"/>
      <c r="I40" s="474"/>
      <c r="J40" s="453"/>
    </row>
    <row r="41" spans="2:17" ht="12.75" customHeight="1" thickTop="1" x14ac:dyDescent="0.2"/>
    <row r="42" spans="2:17" ht="12.75" customHeight="1" x14ac:dyDescent="0.2"/>
    <row r="43" spans="2:17" ht="12.75" customHeight="1" x14ac:dyDescent="0.2">
      <c r="C43" s="453"/>
      <c r="D43" s="453"/>
      <c r="E43" s="453"/>
      <c r="F43" s="453"/>
      <c r="G43" s="453"/>
      <c r="H43" s="453"/>
      <c r="I43" s="453"/>
    </row>
    <row r="44" spans="2:17" ht="12.75" customHeight="1" x14ac:dyDescent="0.2"/>
    <row r="45" spans="2:17" ht="12.75" customHeight="1" x14ac:dyDescent="0.2"/>
    <row r="46" spans="2:17" ht="12.75" customHeight="1" x14ac:dyDescent="0.2"/>
    <row r="47" spans="2:17" ht="12.75" customHeight="1" x14ac:dyDescent="0.2"/>
  </sheetData>
  <sheetProtection sheet="1" objects="1" scenarios="1"/>
  <mergeCells count="5">
    <mergeCell ref="C31:I31"/>
    <mergeCell ref="C33:I33"/>
    <mergeCell ref="C35:I35"/>
    <mergeCell ref="C39:I39"/>
    <mergeCell ref="C37:I37"/>
  </mergeCells>
  <phoneticPr fontId="1" type="noConversion"/>
  <hyperlinks>
    <hyperlink ref="N13" location="Electricity!R1C1" display="Electricity consumption values" xr:uid="{00000000-0004-0000-0100-000000000000}"/>
    <hyperlink ref="N14" location="'Natural Gas'!R1C1" display="Natural Gas consumption values" xr:uid="{00000000-0004-0000-0100-000001000000}"/>
    <hyperlink ref="N15" location="LPG!R1C1" display="LPG consumption values" xr:uid="{00000000-0004-0000-0100-000002000000}"/>
    <hyperlink ref="N16" location="Oil!R1C1" display="Oil consumption values" xr:uid="{00000000-0004-0000-0100-000003000000}"/>
    <hyperlink ref="N17" location="KPI!R1C1" display="Production values" xr:uid="{00000000-0004-0000-0100-000004000000}"/>
    <hyperlink ref="N18" location="Mapping!R1C1" display="Mapping" xr:uid="{00000000-0004-0000-0100-000005000000}"/>
    <hyperlink ref="N23" location="'(Electricity)'!R1C1" display="Electricity" xr:uid="{00000000-0004-0000-0100-000006000000}"/>
    <hyperlink ref="N24" location="'(Natural Gas)'!R1C1" display="Natural Gas" xr:uid="{00000000-0004-0000-0100-000007000000}"/>
    <hyperlink ref="N25" location="'(LPG)'!R1C1" display="LPG" xr:uid="{00000000-0004-0000-0100-000008000000}"/>
    <hyperlink ref="N26" location="'(Oil)'!R1C1" display="Oil" xr:uid="{00000000-0004-0000-0100-000009000000}"/>
    <hyperlink ref="N27" location="KPI!R1C1" display="KPI" xr:uid="{00000000-0004-0000-0100-00000A000000}"/>
    <hyperlink ref="N28" location="'(Mapping)'!R1C1" display="Mapping" xr:uid="{00000000-0004-0000-0100-00000B000000}"/>
    <hyperlink ref="N29" location="'(Sum)'!R1C1" display="Sum" xr:uid="{00000000-0004-0000-0100-00000C000000}"/>
    <hyperlink ref="N30" location="'(Sum_Pies)'!R1C1" display="Pie charts" xr:uid="{00000000-0004-0000-0100-00000D000000}"/>
    <hyperlink ref="N19" location="Annual!R1C1" display="Annual data" xr:uid="{00000000-0004-0000-0100-00000E000000}"/>
    <hyperlink ref="N31" location="'(Annual)'!R1C1" display="Annual" xr:uid="{00000000-0004-0000-0100-00000F000000}"/>
    <hyperlink ref="N20" location="Details!R1C1" display="Details" xr:uid="{00000000-0004-0000-0100-000010000000}"/>
    <hyperlink ref="N32" location="'(Details)'!R1C1" display="Details" xr:uid="{00000000-0004-0000-0100-000011000000}"/>
    <hyperlink ref="N35" location="'Instruction GHG calculator'!R1C1" display="Instruction GHG calculator" xr:uid="{00000000-0004-0000-0100-000012000000}"/>
    <hyperlink ref="N36" location="'GHG Calculator'!R1C1" display="GHG Calculator" xr:uid="{00000000-0004-0000-0100-000013000000}"/>
    <hyperlink ref="N37" location="'CO2 from electricity'!R1C1" display="CO2 from electricity" xr:uid="{00000000-0004-0000-0100-000014000000}"/>
  </hyperlinks>
  <printOptions horizontalCentered="1"/>
  <pageMargins left="0.24" right="0.15" top="0.41" bottom="0.25" header="0" footer="0"/>
  <pageSetup paperSize="9" scale="92" orientation="landscape"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J3:N7"/>
  <sheetViews>
    <sheetView showGridLines="0" workbookViewId="0"/>
  </sheetViews>
  <sheetFormatPr defaultColWidth="9.140625" defaultRowHeight="12.75" x14ac:dyDescent="0.2"/>
  <cols>
    <col min="1" max="16384" width="9.140625" style="2"/>
  </cols>
  <sheetData>
    <row r="3" spans="10:14" x14ac:dyDescent="0.2">
      <c r="J3" s="17"/>
      <c r="K3" s="21"/>
      <c r="L3" s="21"/>
      <c r="M3" s="21"/>
      <c r="N3" s="22"/>
    </row>
    <row r="4" spans="10:14" x14ac:dyDescent="0.2">
      <c r="J4" s="738" t="s">
        <v>170</v>
      </c>
      <c r="K4" s="739"/>
      <c r="L4" s="739"/>
      <c r="M4" s="739"/>
      <c r="N4" s="740"/>
    </row>
    <row r="5" spans="10:14" x14ac:dyDescent="0.2">
      <c r="J5" s="14"/>
      <c r="K5" s="15"/>
      <c r="L5" s="15"/>
      <c r="M5" s="15"/>
      <c r="N5" s="16"/>
    </row>
    <row r="6" spans="10:14" x14ac:dyDescent="0.2">
      <c r="J6" s="816" t="s">
        <v>172</v>
      </c>
      <c r="K6" s="817"/>
      <c r="L6" s="817"/>
      <c r="M6" s="817"/>
      <c r="N6" s="818"/>
    </row>
    <row r="7" spans="10:14" x14ac:dyDescent="0.2">
      <c r="J7" s="18"/>
      <c r="K7" s="19"/>
      <c r="L7" s="19"/>
      <c r="M7" s="19"/>
      <c r="N7" s="20"/>
    </row>
  </sheetData>
  <mergeCells count="2">
    <mergeCell ref="J4:N4"/>
    <mergeCell ref="J6:N6"/>
  </mergeCells>
  <phoneticPr fontId="1" type="noConversion"/>
  <hyperlinks>
    <hyperlink ref="J4" location="Start!R1C1" display="Click here to jump back to start page" xr:uid="{00000000-0004-0000-1300-000000000000}"/>
    <hyperlink ref="J6:N6" location="Sum!R1C1" display="Click here to jump to calculations sheet" xr:uid="{00000000-0004-0000-1300-000001000000}"/>
  </hyperlinks>
  <pageMargins left="0.75" right="0.75" top="1" bottom="1" header="0" footer="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8"/>
  <dimension ref="B3:S95"/>
  <sheetViews>
    <sheetView showGridLines="0" workbookViewId="0"/>
  </sheetViews>
  <sheetFormatPr defaultColWidth="9.140625" defaultRowHeight="12.75" x14ac:dyDescent="0.2"/>
  <cols>
    <col min="1" max="1" width="3" style="1" customWidth="1"/>
    <col min="2" max="7" width="9.140625" style="1"/>
    <col min="8" max="8" width="11.5703125" style="1" customWidth="1"/>
    <col min="9" max="13" width="9.140625" style="1"/>
    <col min="14" max="14" width="2.85546875" style="1" customWidth="1"/>
    <col min="15" max="16384" width="9.140625" style="1"/>
  </cols>
  <sheetData>
    <row r="3" spans="15:19" x14ac:dyDescent="0.2">
      <c r="O3" s="17"/>
      <c r="P3" s="21"/>
      <c r="Q3" s="21"/>
      <c r="R3" s="21"/>
      <c r="S3" s="22"/>
    </row>
    <row r="4" spans="15:19" x14ac:dyDescent="0.2">
      <c r="O4" s="738" t="s">
        <v>170</v>
      </c>
      <c r="P4" s="739"/>
      <c r="Q4" s="739"/>
      <c r="R4" s="739"/>
      <c r="S4" s="740"/>
    </row>
    <row r="5" spans="15:19" x14ac:dyDescent="0.2">
      <c r="O5" s="14"/>
      <c r="P5" s="15"/>
      <c r="Q5" s="15"/>
      <c r="R5" s="15"/>
      <c r="S5" s="16"/>
    </row>
    <row r="6" spans="15:19" x14ac:dyDescent="0.2">
      <c r="O6" s="816" t="s">
        <v>172</v>
      </c>
      <c r="P6" s="817"/>
      <c r="Q6" s="817"/>
      <c r="R6" s="817"/>
      <c r="S6" s="818"/>
    </row>
    <row r="7" spans="15:19" x14ac:dyDescent="0.2">
      <c r="O7" s="18"/>
      <c r="P7" s="19"/>
      <c r="Q7" s="19"/>
      <c r="R7" s="19"/>
      <c r="S7" s="20"/>
    </row>
    <row r="62" spans="2:10" ht="25.5" customHeight="1" x14ac:dyDescent="0.2"/>
    <row r="63" spans="2:10" ht="15" customHeight="1" thickBot="1" x14ac:dyDescent="0.25"/>
    <row r="64" spans="2:10" s="30" customFormat="1" ht="31.5" customHeight="1" thickTop="1" x14ac:dyDescent="0.2">
      <c r="B64" s="831" t="str">
        <f>Mapping!F86</f>
        <v>Building</v>
      </c>
      <c r="C64" s="832"/>
      <c r="D64" s="833" t="str">
        <f>Mapping!G86</f>
        <v>kWh/year sum</v>
      </c>
      <c r="E64" s="834"/>
      <c r="G64" s="831" t="str">
        <f>Mapping!H86</f>
        <v>Function/ Department</v>
      </c>
      <c r="H64" s="832"/>
      <c r="I64" s="833" t="str">
        <f>Mapping!I86</f>
        <v>kWh/year sum</v>
      </c>
      <c r="J64" s="834"/>
    </row>
    <row r="65" spans="2:10" s="31" customFormat="1" x14ac:dyDescent="0.2">
      <c r="B65" s="821" t="str">
        <f>Mapping!F87</f>
        <v>Stores</v>
      </c>
      <c r="C65" s="822"/>
      <c r="D65" s="829">
        <f ca="1">Mapping!G87</f>
        <v>0</v>
      </c>
      <c r="E65" s="830"/>
      <c r="G65" s="821" t="str">
        <f>Mapping!H87</f>
        <v>Stores</v>
      </c>
      <c r="H65" s="822"/>
      <c r="I65" s="829">
        <f ca="1">Mapping!I87</f>
        <v>0</v>
      </c>
      <c r="J65" s="830"/>
    </row>
    <row r="66" spans="2:10" s="31" customFormat="1" x14ac:dyDescent="0.2">
      <c r="B66" s="823" t="str">
        <f>Mapping!F88</f>
        <v>Process 1</v>
      </c>
      <c r="C66" s="824"/>
      <c r="D66" s="825">
        <f ca="1">Mapping!G88</f>
        <v>542555.39999999991</v>
      </c>
      <c r="E66" s="826"/>
      <c r="G66" s="823" t="str">
        <f>Mapping!H88</f>
        <v>Process 1</v>
      </c>
      <c r="H66" s="824"/>
      <c r="I66" s="825">
        <f ca="1">Mapping!I88</f>
        <v>542555.39999999991</v>
      </c>
      <c r="J66" s="826"/>
    </row>
    <row r="67" spans="2:10" s="31" customFormat="1" x14ac:dyDescent="0.2">
      <c r="B67" s="823" t="str">
        <f>Mapping!F89</f>
        <v>Process 2</v>
      </c>
      <c r="C67" s="824"/>
      <c r="D67" s="825">
        <f ca="1">Mapping!G89</f>
        <v>1906779.21</v>
      </c>
      <c r="E67" s="826"/>
      <c r="G67" s="823" t="str">
        <f>Mapping!H89</f>
        <v>Process 2</v>
      </c>
      <c r="H67" s="824"/>
      <c r="I67" s="825">
        <f ca="1">Mapping!I89</f>
        <v>1906779.21</v>
      </c>
      <c r="J67" s="826"/>
    </row>
    <row r="68" spans="2:10" s="31" customFormat="1" x14ac:dyDescent="0.2">
      <c r="B68" s="823" t="str">
        <f>Mapping!F90</f>
        <v>Process 3</v>
      </c>
      <c r="C68" s="824"/>
      <c r="D68" s="825">
        <f ca="1">Mapping!G90</f>
        <v>3687748</v>
      </c>
      <c r="E68" s="826"/>
      <c r="G68" s="823" t="str">
        <f>Mapping!H90</f>
        <v>Process 3</v>
      </c>
      <c r="H68" s="824"/>
      <c r="I68" s="825">
        <f ca="1">Mapping!I90</f>
        <v>3687748</v>
      </c>
      <c r="J68" s="826"/>
    </row>
    <row r="69" spans="2:10" s="31" customFormat="1" x14ac:dyDescent="0.2">
      <c r="B69" s="823" t="str">
        <f>Mapping!F91</f>
        <v>Admin</v>
      </c>
      <c r="C69" s="824"/>
      <c r="D69" s="825">
        <f ca="1">Mapping!G91</f>
        <v>1346704</v>
      </c>
      <c r="E69" s="826"/>
      <c r="G69" s="823" t="str">
        <f>Mapping!H91</f>
        <v>Admin</v>
      </c>
      <c r="H69" s="824"/>
      <c r="I69" s="825">
        <f ca="1">Mapping!I91</f>
        <v>1346704</v>
      </c>
      <c r="J69" s="826"/>
    </row>
    <row r="70" spans="2:10" s="31" customFormat="1" x14ac:dyDescent="0.2">
      <c r="B70" s="823" t="str">
        <f>Mapping!F97</f>
        <v>Gardens</v>
      </c>
      <c r="C70" s="824"/>
      <c r="D70" s="825">
        <f ca="1">Mapping!G97</f>
        <v>0</v>
      </c>
      <c r="E70" s="826"/>
      <c r="G70" s="823" t="str">
        <f>Mapping!H97</f>
        <v>Gardens</v>
      </c>
      <c r="H70" s="824"/>
      <c r="I70" s="825">
        <f ca="1">Mapping!I97</f>
        <v>0</v>
      </c>
      <c r="J70" s="826"/>
    </row>
    <row r="71" spans="2:10" s="31" customFormat="1" x14ac:dyDescent="0.2">
      <c r="B71" s="823" t="str">
        <f>Mapping!F98</f>
        <v>Warehouse 1</v>
      </c>
      <c r="C71" s="824"/>
      <c r="D71" s="825">
        <f ca="1">Mapping!G98</f>
        <v>653496</v>
      </c>
      <c r="E71" s="826"/>
      <c r="G71" s="823" t="str">
        <f>Mapping!H98</f>
        <v>Warehouse 1</v>
      </c>
      <c r="H71" s="824"/>
      <c r="I71" s="825">
        <f ca="1">Mapping!I98</f>
        <v>653496</v>
      </c>
      <c r="J71" s="826"/>
    </row>
    <row r="72" spans="2:10" s="31" customFormat="1" ht="13.5" thickBot="1" x14ac:dyDescent="0.25">
      <c r="B72" s="819" t="str">
        <f>Mapping!F99</f>
        <v>Warehouse 2</v>
      </c>
      <c r="C72" s="820"/>
      <c r="D72" s="827">
        <f ca="1">Mapping!G99</f>
        <v>0</v>
      </c>
      <c r="E72" s="828"/>
      <c r="G72" s="819" t="str">
        <f>Mapping!H99</f>
        <v>Warehouse 2</v>
      </c>
      <c r="H72" s="820"/>
      <c r="I72" s="827">
        <f ca="1">Mapping!I99</f>
        <v>0</v>
      </c>
      <c r="J72" s="828"/>
    </row>
    <row r="73" spans="2:10" s="31" customFormat="1" ht="13.5" thickTop="1" x14ac:dyDescent="0.2"/>
    <row r="74" spans="2:10" s="31" customFormat="1" ht="13.5" thickBot="1" x14ac:dyDescent="0.25"/>
    <row r="75" spans="2:10" s="30" customFormat="1" ht="36.75" customHeight="1" thickTop="1" x14ac:dyDescent="0.2">
      <c r="B75" s="831" t="str">
        <f>Mapping!J86</f>
        <v>Process</v>
      </c>
      <c r="C75" s="832"/>
      <c r="D75" s="833" t="str">
        <f>Mapping!K86</f>
        <v>kWh/year sum</v>
      </c>
      <c r="E75" s="834"/>
      <c r="F75" s="1"/>
      <c r="G75" s="831" t="str">
        <f>Mapping!L86</f>
        <v>Energy Form</v>
      </c>
      <c r="H75" s="832"/>
      <c r="I75" s="833" t="str">
        <f>Mapping!M86</f>
        <v>kWh/year sum</v>
      </c>
      <c r="J75" s="834"/>
    </row>
    <row r="76" spans="2:10" s="31" customFormat="1" x14ac:dyDescent="0.2">
      <c r="B76" s="821" t="str">
        <f>Mapping!J87</f>
        <v>-not a process-</v>
      </c>
      <c r="C76" s="822"/>
      <c r="D76" s="829">
        <f ca="1">Mapping!K87</f>
        <v>0</v>
      </c>
      <c r="E76" s="830"/>
      <c r="F76" s="1"/>
      <c r="G76" s="821" t="str">
        <f>Mapping!L87</f>
        <v>Electricity</v>
      </c>
      <c r="H76" s="822"/>
      <c r="I76" s="829">
        <f ca="1">Mapping!M87</f>
        <v>15035930.68</v>
      </c>
      <c r="J76" s="830"/>
    </row>
    <row r="77" spans="2:10" s="31" customFormat="1" x14ac:dyDescent="0.2">
      <c r="B77" s="823" t="str">
        <f>Mapping!J88</f>
        <v>Process 1</v>
      </c>
      <c r="C77" s="824"/>
      <c r="D77" s="825">
        <f ca="1">Mapping!K88</f>
        <v>542555.39999999991</v>
      </c>
      <c r="E77" s="826"/>
      <c r="F77" s="1"/>
      <c r="G77" s="823" t="str">
        <f>Mapping!L88</f>
        <v>Steam</v>
      </c>
      <c r="H77" s="824"/>
      <c r="I77" s="825">
        <f ca="1">Mapping!M88</f>
        <v>0</v>
      </c>
      <c r="J77" s="826"/>
    </row>
    <row r="78" spans="2:10" s="31" customFormat="1" x14ac:dyDescent="0.2">
      <c r="B78" s="823" t="str">
        <f>Mapping!J89</f>
        <v>Process 2</v>
      </c>
      <c r="C78" s="824"/>
      <c r="D78" s="825">
        <f ca="1">Mapping!K89</f>
        <v>1906779.21</v>
      </c>
      <c r="E78" s="826"/>
      <c r="F78" s="1"/>
      <c r="G78" s="823" t="str">
        <f>Mapping!L89</f>
        <v>Gas</v>
      </c>
      <c r="H78" s="824"/>
      <c r="I78" s="825">
        <f ca="1">Mapping!M89</f>
        <v>0</v>
      </c>
      <c r="J78" s="826"/>
    </row>
    <row r="79" spans="2:10" s="31" customFormat="1" x14ac:dyDescent="0.2">
      <c r="B79" s="823" t="str">
        <f>Mapping!J90</f>
        <v>Process 3</v>
      </c>
      <c r="C79" s="824"/>
      <c r="D79" s="825">
        <f ca="1">Mapping!K90</f>
        <v>3687748</v>
      </c>
      <c r="E79" s="826"/>
      <c r="F79" s="1"/>
      <c r="G79" s="823" t="str">
        <f>Mapping!L90</f>
        <v>Oil</v>
      </c>
      <c r="H79" s="824"/>
      <c r="I79" s="825">
        <f ca="1">Mapping!M90</f>
        <v>0</v>
      </c>
      <c r="J79" s="826"/>
    </row>
    <row r="80" spans="2:10" s="31" customFormat="1" x14ac:dyDescent="0.2">
      <c r="B80" s="823" t="str">
        <f>Mapping!J91</f>
        <v>Admin</v>
      </c>
      <c r="C80" s="824"/>
      <c r="D80" s="825">
        <f ca="1">Mapping!K91</f>
        <v>1346704</v>
      </c>
      <c r="E80" s="826"/>
      <c r="F80" s="1"/>
      <c r="G80" s="823" t="str">
        <f>Mapping!L91</f>
        <v>District Heating</v>
      </c>
      <c r="H80" s="824"/>
      <c r="I80" s="825">
        <f ca="1">Mapping!M91</f>
        <v>0</v>
      </c>
      <c r="J80" s="826"/>
    </row>
    <row r="81" spans="2:10" s="31" customFormat="1" x14ac:dyDescent="0.2">
      <c r="B81" s="823" t="str">
        <f>Mapping!J97</f>
        <v>Gardens</v>
      </c>
      <c r="C81" s="824"/>
      <c r="D81" s="825">
        <f ca="1">Mapping!K97</f>
        <v>0</v>
      </c>
      <c r="E81" s="826"/>
      <c r="F81" s="1"/>
      <c r="G81" s="823">
        <f>Mapping!L97</f>
        <v>0</v>
      </c>
      <c r="H81" s="824"/>
      <c r="I81" s="825">
        <f ca="1">Mapping!M97</f>
        <v>0</v>
      </c>
      <c r="J81" s="826"/>
    </row>
    <row r="82" spans="2:10" s="31" customFormat="1" x14ac:dyDescent="0.2">
      <c r="B82" s="823" t="str">
        <f>Mapping!J98</f>
        <v>Warehouse 1</v>
      </c>
      <c r="C82" s="824"/>
      <c r="D82" s="825">
        <f ca="1">Mapping!K98</f>
        <v>653496</v>
      </c>
      <c r="E82" s="826"/>
      <c r="F82" s="1"/>
      <c r="G82" s="823">
        <f>Mapping!L98</f>
        <v>0</v>
      </c>
      <c r="H82" s="824"/>
      <c r="I82" s="825">
        <f ca="1">Mapping!M98</f>
        <v>0</v>
      </c>
      <c r="J82" s="826"/>
    </row>
    <row r="83" spans="2:10" s="31" customFormat="1" ht="13.5" thickBot="1" x14ac:dyDescent="0.25">
      <c r="B83" s="819" t="str">
        <f>Mapping!J99</f>
        <v>Warehouse 2</v>
      </c>
      <c r="C83" s="820"/>
      <c r="D83" s="827">
        <f ca="1">Mapping!K99</f>
        <v>0</v>
      </c>
      <c r="E83" s="828"/>
      <c r="F83" s="1"/>
      <c r="G83" s="819">
        <f>Mapping!L99</f>
        <v>0</v>
      </c>
      <c r="H83" s="820"/>
      <c r="I83" s="827">
        <f ca="1">Mapping!M99</f>
        <v>0</v>
      </c>
      <c r="J83" s="828"/>
    </row>
    <row r="84" spans="2:10" ht="13.5" thickTop="1" x14ac:dyDescent="0.2"/>
    <row r="85" spans="2:10" ht="13.5" thickBot="1" x14ac:dyDescent="0.25"/>
    <row r="86" spans="2:10" ht="30.75" customHeight="1" thickTop="1" x14ac:dyDescent="0.2">
      <c r="B86" s="831" t="str">
        <f>Mapping!N86</f>
        <v>Technology</v>
      </c>
      <c r="C86" s="832"/>
      <c r="D86" s="833" t="str">
        <f>Mapping!O86</f>
        <v>kWh/year sum</v>
      </c>
      <c r="E86" s="834"/>
      <c r="G86" s="831" t="str">
        <f>Mapping!P86</f>
        <v>Mode of Operation</v>
      </c>
      <c r="H86" s="832"/>
      <c r="I86" s="833" t="str">
        <f>Mapping!Q86</f>
        <v>kWh/year sum</v>
      </c>
      <c r="J86" s="834"/>
    </row>
    <row r="87" spans="2:10" x14ac:dyDescent="0.2">
      <c r="B87" s="821" t="str">
        <f>Mapping!N87</f>
        <v>Lighting</v>
      </c>
      <c r="C87" s="822"/>
      <c r="D87" s="829">
        <f ca="1">Mapping!O87</f>
        <v>0</v>
      </c>
      <c r="E87" s="830"/>
      <c r="G87" s="821" t="str">
        <f>Mapping!P87</f>
        <v>Mixed</v>
      </c>
      <c r="H87" s="822"/>
      <c r="I87" s="829">
        <f ca="1">Mapping!Q87</f>
        <v>0</v>
      </c>
      <c r="J87" s="830"/>
    </row>
    <row r="88" spans="2:10" x14ac:dyDescent="0.2">
      <c r="B88" s="823" t="str">
        <f>Mapping!N88</f>
        <v>Heating</v>
      </c>
      <c r="C88" s="824"/>
      <c r="D88" s="825">
        <f ca="1">Mapping!O88</f>
        <v>0</v>
      </c>
      <c r="E88" s="826"/>
      <c r="G88" s="823" t="str">
        <f>Mapping!P88</f>
        <v>Continously</v>
      </c>
      <c r="H88" s="824"/>
      <c r="I88" s="825">
        <f ca="1">Mapping!Q88</f>
        <v>2228774.92</v>
      </c>
      <c r="J88" s="826"/>
    </row>
    <row r="89" spans="2:10" x14ac:dyDescent="0.2">
      <c r="B89" s="823" t="str">
        <f>Mapping!N89</f>
        <v>Motors</v>
      </c>
      <c r="C89" s="824"/>
      <c r="D89" s="825">
        <f ca="1">Mapping!O89</f>
        <v>7885721.5300000003</v>
      </c>
      <c r="E89" s="826"/>
      <c r="G89" s="823" t="str">
        <f>Mapping!P89</f>
        <v>On-off</v>
      </c>
      <c r="H89" s="824"/>
      <c r="I89" s="825">
        <f ca="1">Mapping!Q89</f>
        <v>3974847.8</v>
      </c>
      <c r="J89" s="826"/>
    </row>
    <row r="90" spans="2:10" x14ac:dyDescent="0.2">
      <c r="B90" s="823" t="str">
        <f>Mapping!N90</f>
        <v>Electronics</v>
      </c>
      <c r="C90" s="824"/>
      <c r="D90" s="825">
        <f ca="1">Mapping!O90</f>
        <v>0</v>
      </c>
      <c r="E90" s="826"/>
      <c r="G90" s="823" t="str">
        <f>Mapping!P90</f>
        <v>Valve/damper</v>
      </c>
      <c r="H90" s="824"/>
      <c r="I90" s="825">
        <f ca="1">Mapping!Q90</f>
        <v>3161100.75</v>
      </c>
      <c r="J90" s="826"/>
    </row>
    <row r="91" spans="2:10" x14ac:dyDescent="0.2">
      <c r="B91" s="823" t="str">
        <f>Mapping!N91</f>
        <v>Cooling</v>
      </c>
      <c r="C91" s="824"/>
      <c r="D91" s="825">
        <f ca="1">Mapping!O91</f>
        <v>4904059.1500000004</v>
      </c>
      <c r="E91" s="826"/>
      <c r="G91" s="823" t="str">
        <f>Mapping!P91</f>
        <v>VSD</v>
      </c>
      <c r="H91" s="824"/>
      <c r="I91" s="825">
        <f ca="1">Mapping!Q91</f>
        <v>5671207.21</v>
      </c>
      <c r="J91" s="826"/>
    </row>
    <row r="92" spans="2:10" x14ac:dyDescent="0.2">
      <c r="B92" s="823">
        <f>Mapping!N97</f>
        <v>0</v>
      </c>
      <c r="C92" s="824"/>
      <c r="D92" s="825">
        <f ca="1">Mapping!O97</f>
        <v>0</v>
      </c>
      <c r="E92" s="826"/>
      <c r="G92" s="823">
        <f>Mapping!P97</f>
        <v>0</v>
      </c>
      <c r="H92" s="824"/>
      <c r="I92" s="825">
        <f ca="1">Mapping!Q97</f>
        <v>0</v>
      </c>
      <c r="J92" s="826"/>
    </row>
    <row r="93" spans="2:10" x14ac:dyDescent="0.2">
      <c r="B93" s="823">
        <f>Mapping!N98</f>
        <v>0</v>
      </c>
      <c r="C93" s="824"/>
      <c r="D93" s="825">
        <f ca="1">Mapping!O98</f>
        <v>0</v>
      </c>
      <c r="E93" s="826"/>
      <c r="G93" s="823">
        <f>Mapping!P98</f>
        <v>0</v>
      </c>
      <c r="H93" s="824"/>
      <c r="I93" s="825">
        <f ca="1">Mapping!Q98</f>
        <v>0</v>
      </c>
      <c r="J93" s="826"/>
    </row>
    <row r="94" spans="2:10" ht="13.5" thickBot="1" x14ac:dyDescent="0.25">
      <c r="B94" s="819">
        <f>Mapping!N99</f>
        <v>0</v>
      </c>
      <c r="C94" s="820"/>
      <c r="D94" s="827">
        <f ca="1">Mapping!O99</f>
        <v>0</v>
      </c>
      <c r="E94" s="828"/>
      <c r="G94" s="819">
        <f>Mapping!P99</f>
        <v>0</v>
      </c>
      <c r="H94" s="820"/>
      <c r="I94" s="827">
        <f ca="1">Mapping!Q99</f>
        <v>0</v>
      </c>
      <c r="J94" s="828"/>
    </row>
    <row r="95" spans="2:10" ht="13.5" thickTop="1" x14ac:dyDescent="0.2"/>
  </sheetData>
  <mergeCells count="110">
    <mergeCell ref="O4:S4"/>
    <mergeCell ref="O6:S6"/>
    <mergeCell ref="D64:E64"/>
    <mergeCell ref="B64:C64"/>
    <mergeCell ref="I64:J64"/>
    <mergeCell ref="G70:H70"/>
    <mergeCell ref="G71:H71"/>
    <mergeCell ref="I65:J65"/>
    <mergeCell ref="I66:J66"/>
    <mergeCell ref="I67:J67"/>
    <mergeCell ref="G64:H64"/>
    <mergeCell ref="G65:H65"/>
    <mergeCell ref="G66:H66"/>
    <mergeCell ref="G67:H67"/>
    <mergeCell ref="B75:C75"/>
    <mergeCell ref="D75:E75"/>
    <mergeCell ref="D65:E65"/>
    <mergeCell ref="D66:E66"/>
    <mergeCell ref="D67:E67"/>
    <mergeCell ref="B72:C72"/>
    <mergeCell ref="D68:E68"/>
    <mergeCell ref="B69:C69"/>
    <mergeCell ref="B70:C70"/>
    <mergeCell ref="D69:E69"/>
    <mergeCell ref="D70:E70"/>
    <mergeCell ref="D71:E71"/>
    <mergeCell ref="D72:E72"/>
    <mergeCell ref="B65:C65"/>
    <mergeCell ref="B66:C66"/>
    <mergeCell ref="B67:C67"/>
    <mergeCell ref="B68:C68"/>
    <mergeCell ref="B71:C71"/>
    <mergeCell ref="I94:J94"/>
    <mergeCell ref="I90:J90"/>
    <mergeCell ref="I91:J91"/>
    <mergeCell ref="I92:J92"/>
    <mergeCell ref="I93:J93"/>
    <mergeCell ref="B76:C76"/>
    <mergeCell ref="D76:E76"/>
    <mergeCell ref="B77:C77"/>
    <mergeCell ref="D77:E77"/>
    <mergeCell ref="D86:E86"/>
    <mergeCell ref="B80:C80"/>
    <mergeCell ref="D80:E80"/>
    <mergeCell ref="B81:C81"/>
    <mergeCell ref="D81:E81"/>
    <mergeCell ref="B86:C86"/>
    <mergeCell ref="B82:C82"/>
    <mergeCell ref="D82:E82"/>
    <mergeCell ref="B83:C83"/>
    <mergeCell ref="D83:E83"/>
    <mergeCell ref="B78:C78"/>
    <mergeCell ref="D78:E78"/>
    <mergeCell ref="B79:C79"/>
    <mergeCell ref="D79:E79"/>
    <mergeCell ref="I82:J82"/>
    <mergeCell ref="I83:J83"/>
    <mergeCell ref="I86:J86"/>
    <mergeCell ref="I87:J87"/>
    <mergeCell ref="I88:J88"/>
    <mergeCell ref="I89:J89"/>
    <mergeCell ref="G86:H86"/>
    <mergeCell ref="G87:H87"/>
    <mergeCell ref="G88:H88"/>
    <mergeCell ref="G89:H89"/>
    <mergeCell ref="I72:J72"/>
    <mergeCell ref="I68:J68"/>
    <mergeCell ref="I69:J69"/>
    <mergeCell ref="I70:J70"/>
    <mergeCell ref="I71:J71"/>
    <mergeCell ref="G82:H82"/>
    <mergeCell ref="G83:H83"/>
    <mergeCell ref="G72:H72"/>
    <mergeCell ref="G75:H75"/>
    <mergeCell ref="G68:H68"/>
    <mergeCell ref="G69:H69"/>
    <mergeCell ref="G76:H76"/>
    <mergeCell ref="G77:H77"/>
    <mergeCell ref="G78:H78"/>
    <mergeCell ref="G79:H79"/>
    <mergeCell ref="G80:H80"/>
    <mergeCell ref="G81:H81"/>
    <mergeCell ref="I75:J75"/>
    <mergeCell ref="I76:J76"/>
    <mergeCell ref="I77:J77"/>
    <mergeCell ref="I78:J78"/>
    <mergeCell ref="I79:J79"/>
    <mergeCell ref="I80:J80"/>
    <mergeCell ref="I81:J81"/>
    <mergeCell ref="B94:C94"/>
    <mergeCell ref="B87:C87"/>
    <mergeCell ref="B88:C88"/>
    <mergeCell ref="B89:C89"/>
    <mergeCell ref="B90:C90"/>
    <mergeCell ref="B91:C91"/>
    <mergeCell ref="B92:C92"/>
    <mergeCell ref="G94:H94"/>
    <mergeCell ref="G90:H90"/>
    <mergeCell ref="G91:H91"/>
    <mergeCell ref="G92:H92"/>
    <mergeCell ref="G93:H93"/>
    <mergeCell ref="D91:E91"/>
    <mergeCell ref="D92:E92"/>
    <mergeCell ref="D93:E93"/>
    <mergeCell ref="D94:E94"/>
    <mergeCell ref="D87:E87"/>
    <mergeCell ref="D88:E88"/>
    <mergeCell ref="D89:E89"/>
    <mergeCell ref="D90:E90"/>
    <mergeCell ref="B93:C93"/>
  </mergeCells>
  <phoneticPr fontId="26" type="noConversion"/>
  <conditionalFormatting sqref="I87:J94 G87:G94 H88:H94 D87:E94 B87:B94 C88:C94 I76:J83 G76:G83 H77:H83 D76:E83 B76:B83 C77:C83 I65:J72 G65:G72 H66:H72 B65:B72 D65:E72 C66:C72">
    <cfRule type="cellIs" dxfId="0" priority="1" stopIfTrue="1" operator="equal">
      <formula>0</formula>
    </cfRule>
  </conditionalFormatting>
  <hyperlinks>
    <hyperlink ref="O4" location="Start!R1C1" display="Click here to jump back to start page" xr:uid="{00000000-0004-0000-1400-000000000000}"/>
    <hyperlink ref="O6:S6" location="Mapping!R1C1" display="Click here to jump to calculations sheet" xr:uid="{00000000-0004-0000-1400-000001000000}"/>
  </hyperlinks>
  <pageMargins left="0.75" right="0.75" top="1" bottom="1" header="0" footer="0"/>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K3:O7"/>
  <sheetViews>
    <sheetView showGridLines="0" workbookViewId="0">
      <selection activeCell="M154" sqref="M154"/>
    </sheetView>
  </sheetViews>
  <sheetFormatPr defaultColWidth="9.140625" defaultRowHeight="12.75" x14ac:dyDescent="0.2"/>
  <cols>
    <col min="1" max="16384" width="9.140625" style="2"/>
  </cols>
  <sheetData>
    <row r="3" spans="11:15" x14ac:dyDescent="0.2">
      <c r="K3" s="17"/>
      <c r="L3" s="21"/>
      <c r="M3" s="21"/>
      <c r="N3" s="21"/>
      <c r="O3" s="22"/>
    </row>
    <row r="4" spans="11:15" x14ac:dyDescent="0.2">
      <c r="K4" s="738" t="s">
        <v>170</v>
      </c>
      <c r="L4" s="739"/>
      <c r="M4" s="739"/>
      <c r="N4" s="739"/>
      <c r="O4" s="740"/>
    </row>
    <row r="5" spans="11:15" x14ac:dyDescent="0.2">
      <c r="K5" s="14"/>
      <c r="L5" s="15"/>
      <c r="M5" s="15"/>
      <c r="N5" s="15"/>
      <c r="O5" s="16"/>
    </row>
    <row r="6" spans="11:15" x14ac:dyDescent="0.2">
      <c r="K6" s="816" t="s">
        <v>172</v>
      </c>
      <c r="L6" s="817"/>
      <c r="M6" s="817"/>
      <c r="N6" s="817"/>
      <c r="O6" s="818"/>
    </row>
    <row r="7" spans="11:15" x14ac:dyDescent="0.2">
      <c r="K7" s="18"/>
      <c r="L7" s="19"/>
      <c r="M7" s="19"/>
      <c r="N7" s="19"/>
      <c r="O7" s="20"/>
    </row>
  </sheetData>
  <mergeCells count="2">
    <mergeCell ref="K4:O4"/>
    <mergeCell ref="K6:O6"/>
  </mergeCells>
  <phoneticPr fontId="1" type="noConversion"/>
  <hyperlinks>
    <hyperlink ref="K4" location="Start!R1C1" display="Click here to jump back to start page" xr:uid="{00000000-0004-0000-1500-000000000000}"/>
    <hyperlink ref="K6:O6" location="KPI!R1C1" display="Click here to jump to calculations sheet" xr:uid="{00000000-0004-0000-1500-000001000000}"/>
  </hyperlinks>
  <pageMargins left="0.75" right="0.75" top="1" bottom="1" header="0" footer="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J3:N7"/>
  <sheetViews>
    <sheetView showGridLines="0" workbookViewId="0">
      <selection activeCell="A5" sqref="A5"/>
    </sheetView>
  </sheetViews>
  <sheetFormatPr defaultRowHeight="12.75" x14ac:dyDescent="0.2"/>
  <sheetData>
    <row r="3" spans="10:14" x14ac:dyDescent="0.2">
      <c r="J3" s="17"/>
      <c r="K3" s="21"/>
      <c r="L3" s="21"/>
      <c r="M3" s="21"/>
      <c r="N3" s="22"/>
    </row>
    <row r="4" spans="10:14" x14ac:dyDescent="0.2">
      <c r="J4" s="738" t="s">
        <v>170</v>
      </c>
      <c r="K4" s="739"/>
      <c r="L4" s="739"/>
      <c r="M4" s="739"/>
      <c r="N4" s="740"/>
    </row>
    <row r="5" spans="10:14" x14ac:dyDescent="0.2">
      <c r="J5" s="14"/>
      <c r="K5" s="15"/>
      <c r="L5" s="15"/>
      <c r="M5" s="15"/>
      <c r="N5" s="16"/>
    </row>
    <row r="6" spans="10:14" x14ac:dyDescent="0.2">
      <c r="J6" s="816" t="s">
        <v>172</v>
      </c>
      <c r="K6" s="817"/>
      <c r="L6" s="817"/>
      <c r="M6" s="817"/>
      <c r="N6" s="818"/>
    </row>
    <row r="7" spans="10:14" x14ac:dyDescent="0.2">
      <c r="J7" s="18"/>
      <c r="K7" s="19"/>
      <c r="L7" s="19"/>
      <c r="M7" s="19"/>
      <c r="N7" s="20"/>
    </row>
  </sheetData>
  <mergeCells count="2">
    <mergeCell ref="J4:N4"/>
    <mergeCell ref="J6:N6"/>
  </mergeCells>
  <phoneticPr fontId="1" type="noConversion"/>
  <hyperlinks>
    <hyperlink ref="J4" location="Start!R1C1" display="Click here to jump back to start page" xr:uid="{00000000-0004-0000-1600-000000000000}"/>
    <hyperlink ref="J6:N6" location="Annual!R1C1" display="Click here to jump to calculations sheet" xr:uid="{00000000-0004-0000-1600-000001000000}"/>
  </hyperlinks>
  <pageMargins left="0.75" right="0.75" top="1" bottom="1" header="0" footer="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N3:R7"/>
  <sheetViews>
    <sheetView showGridLines="0" zoomScale="75" workbookViewId="0">
      <selection activeCell="N6" sqref="N6:R6"/>
    </sheetView>
  </sheetViews>
  <sheetFormatPr defaultRowHeight="12.75" x14ac:dyDescent="0.2"/>
  <sheetData>
    <row r="3" spans="14:18" x14ac:dyDescent="0.2">
      <c r="N3" s="17"/>
      <c r="O3" s="21"/>
      <c r="P3" s="21"/>
      <c r="Q3" s="21"/>
      <c r="R3" s="22"/>
    </row>
    <row r="4" spans="14:18" x14ac:dyDescent="0.2">
      <c r="N4" s="738" t="s">
        <v>170</v>
      </c>
      <c r="O4" s="739"/>
      <c r="P4" s="739"/>
      <c r="Q4" s="739"/>
      <c r="R4" s="740"/>
    </row>
    <row r="5" spans="14:18" x14ac:dyDescent="0.2">
      <c r="N5" s="14"/>
      <c r="O5" s="15"/>
      <c r="P5" s="15"/>
      <c r="Q5" s="15"/>
      <c r="R5" s="16"/>
    </row>
    <row r="6" spans="14:18" x14ac:dyDescent="0.2">
      <c r="N6" s="816" t="s">
        <v>172</v>
      </c>
      <c r="O6" s="817"/>
      <c r="P6" s="817"/>
      <c r="Q6" s="817"/>
      <c r="R6" s="818"/>
    </row>
    <row r="7" spans="14:18" x14ac:dyDescent="0.2">
      <c r="N7" s="18"/>
      <c r="O7" s="19"/>
      <c r="P7" s="19"/>
      <c r="Q7" s="19"/>
      <c r="R7" s="20"/>
    </row>
  </sheetData>
  <mergeCells count="2">
    <mergeCell ref="N4:R4"/>
    <mergeCell ref="N6:R6"/>
  </mergeCells>
  <phoneticPr fontId="1" type="noConversion"/>
  <hyperlinks>
    <hyperlink ref="N4" location="Start!R1C1" display="Click here to jump back to start page" xr:uid="{00000000-0004-0000-1700-000000000000}"/>
    <hyperlink ref="N6:R6" location="Details!R1C1" display="Click here to jump to calculations sheet" xr:uid="{00000000-0004-0000-1700-000001000000}"/>
  </hyperlinks>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dimension ref="A1:DR27"/>
  <sheetViews>
    <sheetView showGridLines="0" topLeftCell="K1" zoomScaleNormal="100" workbookViewId="0">
      <selection activeCell="X10" sqref="X10"/>
    </sheetView>
  </sheetViews>
  <sheetFormatPr defaultColWidth="9.140625" defaultRowHeight="12.75" x14ac:dyDescent="0.2"/>
  <cols>
    <col min="1" max="1" width="2.42578125" style="222" customWidth="1"/>
    <col min="2" max="2" width="4.7109375" style="155" customWidth="1"/>
    <col min="3" max="3" width="8.42578125" style="155" customWidth="1"/>
    <col min="4" max="4" width="8" style="155" customWidth="1"/>
    <col min="5" max="5" width="8.42578125" style="155" customWidth="1"/>
    <col min="6" max="6" width="9.5703125" style="155" customWidth="1"/>
    <col min="7" max="7" width="8.42578125" style="155" customWidth="1"/>
    <col min="8" max="8" width="9.28515625" style="155" customWidth="1"/>
    <col min="9" max="9" width="9.140625" style="155"/>
    <col min="10" max="10" width="6.85546875" style="154" customWidth="1"/>
    <col min="11" max="11" width="7.28515625" style="154" customWidth="1"/>
    <col min="12" max="12" width="8" style="154" customWidth="1"/>
    <col min="13" max="13" width="8.140625" style="154" customWidth="1"/>
    <col min="14" max="14" width="8" style="154" customWidth="1"/>
    <col min="15" max="15" width="7.5703125" style="154" customWidth="1"/>
    <col min="16" max="16" width="9.42578125" style="154" customWidth="1"/>
    <col min="17" max="17" width="9" style="154" customWidth="1"/>
    <col min="18" max="18" width="7.5703125" style="154" bestFit="1" customWidth="1"/>
    <col min="19" max="19" width="8.5703125" style="154" customWidth="1"/>
    <col min="20" max="21" width="10" style="154" customWidth="1"/>
    <col min="22" max="22" width="8.7109375" style="154" customWidth="1"/>
    <col min="23" max="24" width="9" style="154" customWidth="1"/>
    <col min="25" max="25" width="8.42578125" style="154" customWidth="1"/>
    <col min="26" max="26" width="9.140625" style="154"/>
    <col min="27" max="27" width="7.28515625" style="154" customWidth="1"/>
    <col min="28" max="28" width="8.140625" style="154" customWidth="1"/>
    <col min="29" max="29" width="8.42578125" style="154" customWidth="1"/>
    <col min="30" max="30" width="9.140625" style="154"/>
    <col min="31" max="31" width="8" style="154" customWidth="1"/>
    <col min="32" max="32" width="7.7109375" style="154" customWidth="1"/>
    <col min="33" max="33" width="8.5703125" style="154" customWidth="1"/>
    <col min="34" max="34" width="8.7109375" style="154" customWidth="1"/>
    <col min="35" max="35" width="3.42578125" style="160" customWidth="1"/>
    <col min="36" max="37" width="9.140625" style="161"/>
    <col min="38" max="42" width="8.42578125" style="160" customWidth="1"/>
    <col min="43" max="43" width="8.42578125" style="161" customWidth="1"/>
    <col min="44" max="45" width="9.140625" style="161"/>
    <col min="46" max="46" width="9.140625" style="387"/>
    <col min="47" max="47" width="9.140625" style="388"/>
    <col min="48" max="48" width="9.140625" style="387"/>
    <col min="49" max="50" width="9.140625" style="160"/>
    <col min="51" max="58" width="9.140625" style="154"/>
    <col min="59" max="59" width="10.42578125" style="154" customWidth="1"/>
    <col min="60" max="66" width="9.140625" style="154"/>
    <col min="67" max="67" width="9.42578125" style="154" customWidth="1"/>
    <col min="68" max="68" width="9.5703125" style="316" customWidth="1"/>
    <col min="69" max="69" width="9.140625" style="316"/>
    <col min="70" max="70" width="11.28515625" style="316" customWidth="1"/>
    <col min="71" max="71" width="11.5703125" style="316" customWidth="1"/>
    <col min="72" max="72" width="10.140625" style="316" customWidth="1"/>
    <col min="73" max="86" width="9.140625" style="316"/>
    <col min="87" max="89" width="7.42578125" style="316" customWidth="1"/>
    <col min="90" max="90" width="15.5703125" style="316" customWidth="1"/>
    <col min="91" max="116" width="6.42578125" style="316" customWidth="1"/>
    <col min="117" max="122" width="9.140625" style="316"/>
    <col min="123" max="16384" width="9.140625" style="154"/>
  </cols>
  <sheetData>
    <row r="1" spans="1:122" ht="20.25" customHeight="1" x14ac:dyDescent="0.2">
      <c r="B1" s="154"/>
      <c r="C1" s="154"/>
      <c r="D1" s="154"/>
      <c r="E1" s="166"/>
      <c r="F1" s="73"/>
      <c r="G1" s="223"/>
      <c r="H1" s="154"/>
      <c r="I1" s="154"/>
      <c r="K1" s="224"/>
      <c r="Y1" s="160"/>
      <c r="Z1" s="160"/>
      <c r="AA1" s="160"/>
      <c r="AB1" s="160"/>
      <c r="AC1" s="161"/>
      <c r="AD1" s="161"/>
      <c r="AE1" s="161"/>
      <c r="AF1" s="161"/>
      <c r="AG1" s="161"/>
      <c r="AH1" s="162"/>
      <c r="AI1" s="162"/>
      <c r="AJ1" s="162"/>
      <c r="AK1" s="162"/>
      <c r="AL1" s="162"/>
      <c r="AM1" s="162"/>
      <c r="AN1" s="162"/>
      <c r="AO1" s="162"/>
      <c r="AP1" s="162"/>
      <c r="AQ1" s="162"/>
      <c r="AT1" s="154"/>
      <c r="AU1" s="154"/>
      <c r="AV1" s="154"/>
      <c r="AW1" s="154"/>
      <c r="AX1" s="154"/>
    </row>
    <row r="2" spans="1:122" s="71" customFormat="1" ht="14.25" customHeight="1" x14ac:dyDescent="0.2">
      <c r="A2" s="132"/>
      <c r="B2" s="225"/>
      <c r="C2" s="226"/>
      <c r="D2" s="226" t="s">
        <v>36</v>
      </c>
      <c r="E2" s="227">
        <f>KPI!C3</f>
        <v>2017</v>
      </c>
      <c r="F2" s="228"/>
      <c r="G2" s="228"/>
      <c r="H2" s="229" t="s">
        <v>86</v>
      </c>
      <c r="I2" s="230" t="str">
        <f>Start!H14</f>
        <v>Utility company</v>
      </c>
      <c r="J2" s="318"/>
      <c r="K2" s="85"/>
      <c r="L2" s="83"/>
      <c r="M2" s="83"/>
      <c r="N2" s="83"/>
      <c r="O2" s="83"/>
      <c r="P2" s="83"/>
      <c r="Q2" s="83"/>
      <c r="R2" s="83"/>
      <c r="S2" s="83"/>
      <c r="T2" s="83"/>
      <c r="U2" s="83"/>
      <c r="V2" s="83"/>
      <c r="W2" s="83"/>
      <c r="X2" s="83"/>
      <c r="Y2" s="83"/>
      <c r="Z2" s="83"/>
      <c r="AA2" s="83"/>
      <c r="AB2" s="83"/>
      <c r="AC2" s="83"/>
      <c r="AD2" s="83"/>
      <c r="AE2" s="83"/>
      <c r="AF2" s="83"/>
      <c r="AG2" s="83"/>
      <c r="AH2" s="83"/>
      <c r="AI2" s="72"/>
      <c r="AJ2" s="77"/>
      <c r="AK2" s="77"/>
      <c r="AL2" s="72"/>
      <c r="AM2" s="72"/>
      <c r="AN2" s="72"/>
      <c r="AO2" s="72"/>
      <c r="AP2" s="72"/>
      <c r="AQ2" s="77"/>
      <c r="AR2" s="77"/>
      <c r="AS2" s="77"/>
      <c r="AT2" s="149"/>
      <c r="AU2" s="150"/>
      <c r="AV2" s="149"/>
      <c r="AW2" s="72"/>
      <c r="AX2" s="72"/>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row>
    <row r="3" spans="1:122" s="71" customFormat="1" ht="14.25" customHeight="1" x14ac:dyDescent="0.2">
      <c r="A3" s="132"/>
      <c r="B3" s="238"/>
      <c r="C3" s="248"/>
      <c r="D3" s="248" t="s">
        <v>87</v>
      </c>
      <c r="E3" s="390" t="s">
        <v>74</v>
      </c>
      <c r="F3" s="240"/>
      <c r="G3" s="240"/>
      <c r="H3" s="241"/>
      <c r="I3" s="242"/>
      <c r="J3" s="321"/>
      <c r="K3" s="83"/>
      <c r="L3" s="233" t="s">
        <v>197</v>
      </c>
      <c r="M3" s="234" t="s">
        <v>80</v>
      </c>
      <c r="N3" s="235"/>
      <c r="O3" s="391"/>
      <c r="P3" s="391"/>
      <c r="Q3" s="236"/>
      <c r="R3" s="83"/>
      <c r="S3" s="83"/>
      <c r="T3" s="83"/>
      <c r="U3" s="83"/>
      <c r="V3" s="83"/>
      <c r="W3" s="83"/>
      <c r="X3" s="83"/>
      <c r="Y3" s="83"/>
      <c r="Z3" s="83"/>
      <c r="AA3" s="83"/>
      <c r="AB3" s="83"/>
      <c r="AC3" s="83"/>
      <c r="AD3" s="83"/>
      <c r="AE3" s="83"/>
      <c r="AF3" s="83"/>
      <c r="AG3" s="83"/>
      <c r="AH3" s="83"/>
      <c r="AI3" s="72"/>
      <c r="AJ3" s="77"/>
      <c r="AK3" s="77"/>
      <c r="AL3" s="72"/>
      <c r="AM3" s="72"/>
      <c r="AN3" s="72"/>
      <c r="AO3" s="72"/>
      <c r="AP3" s="72"/>
      <c r="AQ3" s="77"/>
      <c r="AR3" s="77"/>
      <c r="AS3" s="77"/>
      <c r="AT3" s="149"/>
      <c r="AU3" s="150"/>
      <c r="AV3" s="149"/>
      <c r="AW3" s="72"/>
      <c r="AX3" s="72"/>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row>
    <row r="4" spans="1:122" s="71" customFormat="1" ht="14.25" customHeight="1" x14ac:dyDescent="0.2">
      <c r="A4" s="132"/>
      <c r="B4" s="238"/>
      <c r="C4" s="248"/>
      <c r="D4" s="248" t="s">
        <v>34</v>
      </c>
      <c r="E4" s="392">
        <f>F22/(J22+L22+N22)</f>
        <v>4.9622631382206017E-2</v>
      </c>
      <c r="F4" s="250" t="str">
        <f>Start!$O$7&amp;"/kWh"</f>
        <v>$/kWh</v>
      </c>
      <c r="G4" s="240"/>
      <c r="H4" s="241"/>
      <c r="I4" s="242"/>
      <c r="J4" s="321"/>
      <c r="K4" s="83"/>
      <c r="L4" s="245">
        <f>Start!C14</f>
        <v>0</v>
      </c>
      <c r="M4" s="246" t="str">
        <f>Start!D14</f>
        <v>Licensed Green Supplier</v>
      </c>
      <c r="N4" s="246"/>
      <c r="O4" s="393"/>
      <c r="P4" s="393"/>
      <c r="Q4" s="247"/>
      <c r="R4" s="83"/>
      <c r="S4" s="83"/>
      <c r="T4" s="83"/>
      <c r="U4" s="83"/>
      <c r="V4" s="83"/>
      <c r="W4" s="83"/>
      <c r="X4" s="83"/>
      <c r="Y4" s="83"/>
      <c r="Z4" s="83"/>
      <c r="AA4" s="83"/>
      <c r="AB4" s="83"/>
      <c r="AC4" s="83"/>
      <c r="AD4" s="83"/>
      <c r="AE4" s="83"/>
      <c r="AF4" s="83"/>
      <c r="AG4" s="83"/>
      <c r="AH4" s="83"/>
      <c r="AI4" s="72"/>
      <c r="AJ4" s="77"/>
      <c r="AK4" s="77"/>
      <c r="AL4" s="72"/>
      <c r="AM4" s="72"/>
      <c r="AN4" s="72"/>
      <c r="AO4" s="72"/>
      <c r="AP4" s="72"/>
      <c r="AQ4" s="77"/>
      <c r="AR4" s="77"/>
      <c r="AS4" s="77"/>
      <c r="AT4" s="149"/>
      <c r="AU4" s="150"/>
      <c r="AV4" s="149"/>
      <c r="AW4" s="72"/>
      <c r="AX4" s="72"/>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row>
    <row r="5" spans="1:122" s="71" customFormat="1" ht="14.25" customHeight="1" x14ac:dyDescent="0.2">
      <c r="A5" s="132"/>
      <c r="B5" s="251"/>
      <c r="C5" s="252"/>
      <c r="D5" s="252" t="s">
        <v>80</v>
      </c>
      <c r="E5" s="253">
        <f>CF7</f>
        <v>4.8000000000000001E-4</v>
      </c>
      <c r="F5" s="254" t="s">
        <v>197</v>
      </c>
      <c r="G5" s="323"/>
      <c r="H5" s="255" t="s">
        <v>35</v>
      </c>
      <c r="I5" s="256">
        <f>Start!K14</f>
        <v>50012345</v>
      </c>
      <c r="J5" s="324"/>
      <c r="K5" s="394"/>
      <c r="L5" s="245">
        <f>Start!C15</f>
        <v>4.8000000000000001E-4</v>
      </c>
      <c r="M5" s="259" t="str">
        <f>Start!D15</f>
        <v>Electricity - Average Generation Mix</v>
      </c>
      <c r="N5" s="259"/>
      <c r="O5" s="395"/>
      <c r="P5" s="395"/>
      <c r="Q5" s="260"/>
      <c r="R5" s="83"/>
      <c r="S5" s="83"/>
      <c r="T5" s="83"/>
      <c r="U5" s="83"/>
      <c r="V5" s="83"/>
      <c r="W5" s="83"/>
      <c r="X5" s="83"/>
      <c r="Y5" s="394"/>
      <c r="Z5" s="83"/>
      <c r="AA5" s="83"/>
      <c r="AB5" s="83"/>
      <c r="AC5" s="83"/>
      <c r="AD5" s="83"/>
      <c r="AE5" s="83"/>
      <c r="AF5" s="83"/>
      <c r="AG5" s="83"/>
      <c r="AH5" s="83"/>
      <c r="AI5" s="72"/>
      <c r="AJ5" s="77"/>
      <c r="AK5" s="77"/>
      <c r="AL5" s="72"/>
      <c r="AM5" s="72"/>
      <c r="AN5" s="72"/>
      <c r="AO5" s="72"/>
      <c r="AP5" s="72"/>
      <c r="AQ5" s="77"/>
      <c r="AR5" s="77"/>
      <c r="AS5" s="77"/>
      <c r="AT5" s="149"/>
      <c r="AU5" s="150"/>
      <c r="AV5" s="149"/>
      <c r="AW5" s="72"/>
      <c r="AX5" s="72"/>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3"/>
      <c r="DE5" s="83"/>
      <c r="DF5" s="83"/>
      <c r="DG5" s="83"/>
      <c r="DH5" s="83"/>
      <c r="DI5" s="83"/>
      <c r="DJ5" s="83"/>
      <c r="DK5" s="83"/>
      <c r="DL5" s="83"/>
      <c r="DM5" s="83"/>
      <c r="DN5" s="83"/>
      <c r="DO5" s="83"/>
      <c r="DP5" s="83"/>
      <c r="DQ5" s="83"/>
      <c r="DR5" s="83"/>
    </row>
    <row r="6" spans="1:122" s="71" customFormat="1" ht="12.75" customHeight="1" x14ac:dyDescent="0.2">
      <c r="A6" s="132"/>
      <c r="B6" s="396"/>
      <c r="C6" s="136"/>
      <c r="D6" s="136"/>
      <c r="E6" s="263"/>
      <c r="F6" s="262"/>
      <c r="G6" s="136"/>
      <c r="H6" s="263"/>
      <c r="I6" s="263"/>
      <c r="J6" s="136"/>
      <c r="K6" s="264"/>
      <c r="AI6" s="72"/>
      <c r="AJ6" s="77"/>
      <c r="AK6" s="77"/>
      <c r="AL6" s="72"/>
      <c r="AM6" s="72"/>
      <c r="AN6" s="72"/>
      <c r="AO6" s="72"/>
      <c r="AP6" s="72"/>
      <c r="AQ6" s="77"/>
      <c r="AR6" s="77"/>
      <c r="AS6" s="77"/>
      <c r="AT6" s="149"/>
      <c r="AU6" s="150"/>
      <c r="AV6" s="149"/>
      <c r="AW6" s="72"/>
      <c r="AX6" s="72"/>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row>
    <row r="7" spans="1:122" s="399" customFormat="1" ht="28.5" customHeight="1" x14ac:dyDescent="0.2">
      <c r="A7" s="397"/>
      <c r="B7" s="747" t="s">
        <v>88</v>
      </c>
      <c r="C7" s="748"/>
      <c r="D7" s="748"/>
      <c r="E7" s="748"/>
      <c r="F7" s="748"/>
      <c r="G7" s="748"/>
      <c r="H7" s="748"/>
      <c r="I7" s="749"/>
      <c r="J7" s="744" t="s">
        <v>12</v>
      </c>
      <c r="K7" s="746"/>
      <c r="L7" s="744" t="s">
        <v>14</v>
      </c>
      <c r="M7" s="746"/>
      <c r="N7" s="744" t="s">
        <v>109</v>
      </c>
      <c r="O7" s="746"/>
      <c r="P7" s="744" t="s">
        <v>180</v>
      </c>
      <c r="Q7" s="745"/>
      <c r="R7" s="745"/>
      <c r="S7" s="745"/>
      <c r="T7" s="745"/>
      <c r="U7" s="746"/>
      <c r="V7" s="744" t="s">
        <v>178</v>
      </c>
      <c r="W7" s="745"/>
      <c r="X7" s="746"/>
      <c r="Y7" s="744" t="s">
        <v>110</v>
      </c>
      <c r="Z7" s="745"/>
      <c r="AA7" s="746"/>
      <c r="AB7" s="744" t="s">
        <v>111</v>
      </c>
      <c r="AC7" s="745"/>
      <c r="AD7" s="746"/>
      <c r="AE7" s="744" t="s">
        <v>109</v>
      </c>
      <c r="AF7" s="745"/>
      <c r="AG7" s="746"/>
      <c r="AH7" s="398" t="s">
        <v>30</v>
      </c>
      <c r="BP7" s="400"/>
      <c r="BQ7" s="400"/>
      <c r="BR7" s="400"/>
      <c r="BS7" s="400"/>
      <c r="BT7" s="400"/>
      <c r="BU7" s="401"/>
      <c r="BV7" s="401"/>
      <c r="BW7" s="400"/>
      <c r="BX7" s="400"/>
      <c r="BY7" s="400"/>
      <c r="BZ7" s="400"/>
      <c r="CA7" s="400"/>
      <c r="CB7" s="401"/>
      <c r="CC7" s="401"/>
      <c r="CD7" s="401"/>
      <c r="CE7" s="402">
        <f>B8</f>
        <v>2017</v>
      </c>
      <c r="CF7" s="403">
        <f>INDEX(CF10:CF21,MATCH(E3,CE10:CE21,),)</f>
        <v>4.8000000000000001E-4</v>
      </c>
      <c r="CG7" s="400"/>
      <c r="CH7" s="400"/>
      <c r="CI7" s="400"/>
      <c r="CJ7" s="400"/>
      <c r="CK7" s="400"/>
      <c r="CL7" s="400"/>
      <c r="CM7" s="400"/>
      <c r="CN7" s="400"/>
      <c r="CO7" s="400"/>
      <c r="CP7" s="400"/>
      <c r="CQ7" s="400"/>
      <c r="CR7" s="400"/>
      <c r="CS7" s="400"/>
      <c r="CT7" s="400"/>
      <c r="CU7" s="400"/>
      <c r="CV7" s="400"/>
      <c r="CW7" s="400"/>
      <c r="CX7" s="400"/>
      <c r="CY7" s="400"/>
      <c r="CZ7" s="400"/>
      <c r="DA7" s="400"/>
      <c r="DB7" s="400"/>
      <c r="DC7" s="400"/>
      <c r="DD7" s="400"/>
      <c r="DE7" s="400"/>
      <c r="DF7" s="400"/>
      <c r="DG7" s="400"/>
      <c r="DH7" s="400"/>
      <c r="DI7" s="400"/>
      <c r="DJ7" s="400"/>
      <c r="DK7" s="400"/>
      <c r="DL7" s="400"/>
      <c r="DM7" s="400"/>
      <c r="DN7" s="400"/>
      <c r="DO7" s="400"/>
      <c r="DP7" s="400"/>
      <c r="DQ7" s="400"/>
      <c r="DR7" s="400"/>
    </row>
    <row r="8" spans="1:122" s="184" customFormat="1" ht="45" x14ac:dyDescent="0.2">
      <c r="A8" s="132"/>
      <c r="B8" s="404">
        <f>IF(E2="","",E2)</f>
        <v>2017</v>
      </c>
      <c r="C8" s="351" t="s">
        <v>200</v>
      </c>
      <c r="D8" s="273" t="s">
        <v>134</v>
      </c>
      <c r="E8" s="273" t="s">
        <v>26</v>
      </c>
      <c r="F8" s="273" t="s">
        <v>16</v>
      </c>
      <c r="G8" s="273" t="s">
        <v>31</v>
      </c>
      <c r="H8" s="274" t="s">
        <v>71</v>
      </c>
      <c r="I8" s="354" t="s">
        <v>201</v>
      </c>
      <c r="J8" s="351" t="s">
        <v>202</v>
      </c>
      <c r="K8" s="273" t="s">
        <v>15</v>
      </c>
      <c r="L8" s="351" t="s">
        <v>202</v>
      </c>
      <c r="M8" s="273" t="s">
        <v>15</v>
      </c>
      <c r="N8" s="351" t="s">
        <v>202</v>
      </c>
      <c r="O8" s="273" t="s">
        <v>15</v>
      </c>
      <c r="P8" s="351" t="s">
        <v>29</v>
      </c>
      <c r="Q8" s="274" t="s">
        <v>113</v>
      </c>
      <c r="R8" s="354" t="s">
        <v>24</v>
      </c>
      <c r="S8" s="274" t="s">
        <v>25</v>
      </c>
      <c r="T8" s="354" t="s">
        <v>176</v>
      </c>
      <c r="U8" s="274" t="s">
        <v>177</v>
      </c>
      <c r="V8" s="354" t="s">
        <v>27</v>
      </c>
      <c r="W8" s="273" t="s">
        <v>28</v>
      </c>
      <c r="X8" s="274" t="s">
        <v>112</v>
      </c>
      <c r="Y8" s="354" t="s">
        <v>17</v>
      </c>
      <c r="Z8" s="273" t="s">
        <v>16</v>
      </c>
      <c r="AA8" s="274" t="s">
        <v>18</v>
      </c>
      <c r="AB8" s="273" t="s">
        <v>17</v>
      </c>
      <c r="AC8" s="273" t="s">
        <v>16</v>
      </c>
      <c r="AD8" s="274" t="s">
        <v>18</v>
      </c>
      <c r="AE8" s="273" t="s">
        <v>17</v>
      </c>
      <c r="AF8" s="273" t="s">
        <v>16</v>
      </c>
      <c r="AG8" s="274" t="s">
        <v>18</v>
      </c>
      <c r="AH8" s="274" t="s">
        <v>23</v>
      </c>
      <c r="BP8" s="331"/>
      <c r="BQ8" s="331"/>
      <c r="BR8" s="280" t="s">
        <v>104</v>
      </c>
      <c r="BS8" s="280" t="s">
        <v>102</v>
      </c>
      <c r="BT8" s="280" t="s">
        <v>103</v>
      </c>
      <c r="BU8" s="280" t="s">
        <v>12</v>
      </c>
      <c r="BV8" s="280" t="s">
        <v>14</v>
      </c>
      <c r="BW8" s="280" t="str">
        <f>Q8</f>
        <v>Import or Service Capacity Charge</v>
      </c>
      <c r="BX8" s="280" t="str">
        <f>S8</f>
        <v>Excess Capacity Charge</v>
      </c>
      <c r="BY8" s="280" t="str">
        <f>U8</f>
        <v>Maximum Demand Charge</v>
      </c>
      <c r="BZ8" s="280" t="str">
        <f>V8</f>
        <v>Wattless Charge</v>
      </c>
      <c r="CA8" s="280" t="str">
        <f>W8</f>
        <v>PSO Levy Charge</v>
      </c>
      <c r="CB8" s="280" t="str">
        <f>X8</f>
        <v>All Standing Charge(s)</v>
      </c>
      <c r="CC8" s="280" t="s">
        <v>37</v>
      </c>
      <c r="CD8" s="330" t="s">
        <v>38</v>
      </c>
      <c r="CE8" s="280" t="s">
        <v>75</v>
      </c>
      <c r="CF8" s="280" t="s">
        <v>76</v>
      </c>
      <c r="CG8" s="405"/>
      <c r="CH8" s="280"/>
      <c r="CI8" s="280" t="s">
        <v>106</v>
      </c>
      <c r="CJ8" s="280" t="s">
        <v>107</v>
      </c>
      <c r="CK8" s="280" t="s">
        <v>108</v>
      </c>
      <c r="CL8" s="331"/>
      <c r="CM8" s="331"/>
      <c r="CN8" s="331"/>
      <c r="CO8" s="331"/>
      <c r="CP8" s="331"/>
      <c r="CQ8" s="331"/>
      <c r="CR8" s="331"/>
      <c r="CS8" s="331"/>
      <c r="CT8" s="331"/>
      <c r="CU8" s="331"/>
      <c r="CV8" s="331"/>
      <c r="CW8" s="331"/>
      <c r="CX8" s="331"/>
      <c r="CY8" s="331"/>
      <c r="CZ8" s="331"/>
      <c r="DA8" s="331"/>
      <c r="DB8" s="331"/>
      <c r="DC8" s="331"/>
      <c r="DD8" s="331"/>
      <c r="DE8" s="331"/>
      <c r="DF8" s="331"/>
      <c r="DG8" s="331"/>
      <c r="DH8" s="331"/>
      <c r="DI8" s="331"/>
      <c r="DJ8" s="331"/>
      <c r="DK8" s="331"/>
      <c r="DL8" s="331"/>
      <c r="DM8" s="331"/>
      <c r="DN8" s="331"/>
      <c r="DO8" s="331"/>
      <c r="DP8" s="331"/>
      <c r="DQ8" s="331"/>
      <c r="DR8" s="331"/>
    </row>
    <row r="9" spans="1:122" s="155" customFormat="1" ht="14.25" customHeight="1" x14ac:dyDescent="0.2">
      <c r="A9" s="132"/>
      <c r="B9" s="193"/>
      <c r="C9" s="406" t="s">
        <v>13</v>
      </c>
      <c r="D9" s="407" t="str">
        <f>"["&amp;Start!$O$7&amp;"]"</f>
        <v>[$]</v>
      </c>
      <c r="E9" s="407" t="str">
        <f>"["&amp;Start!$O$7&amp;"]"</f>
        <v>[$]</v>
      </c>
      <c r="F9" s="407" t="str">
        <f>"["&amp;Start!$O$7&amp;"]"</f>
        <v>[$]</v>
      </c>
      <c r="G9" s="407" t="str">
        <f>"["&amp;Start!$O$7&amp;"/kWh]"</f>
        <v>[$/kWh]</v>
      </c>
      <c r="H9" s="408" t="s">
        <v>203</v>
      </c>
      <c r="I9" s="407" t="s">
        <v>13</v>
      </c>
      <c r="J9" s="409" t="s">
        <v>13</v>
      </c>
      <c r="K9" s="407" t="str">
        <f>"["&amp;Start!$O$7&amp;"/kWh]"</f>
        <v>[$/kWh]</v>
      </c>
      <c r="L9" s="409" t="s">
        <v>13</v>
      </c>
      <c r="M9" s="407" t="str">
        <f>"["&amp;Start!$O$7&amp;"/kWh]"</f>
        <v>[$/kWh]</v>
      </c>
      <c r="N9" s="409" t="s">
        <v>13</v>
      </c>
      <c r="O9" s="407" t="str">
        <f>"["&amp;Start!$O$7&amp;"/kWh]"</f>
        <v>[$/kWh]</v>
      </c>
      <c r="P9" s="409" t="s">
        <v>21</v>
      </c>
      <c r="Q9" s="408" t="str">
        <f>"["&amp;Start!$O$7&amp;"]"</f>
        <v>[$]</v>
      </c>
      <c r="R9" s="410" t="s">
        <v>21</v>
      </c>
      <c r="S9" s="408" t="str">
        <f>"["&amp;Start!$O$7&amp;"]"</f>
        <v>[$]</v>
      </c>
      <c r="T9" s="410" t="s">
        <v>22</v>
      </c>
      <c r="U9" s="408" t="str">
        <f>"["&amp;Start!$O$7&amp;"]"</f>
        <v>[$]</v>
      </c>
      <c r="V9" s="410" t="str">
        <f>"["&amp;Start!$O$7&amp;"]"</f>
        <v>[$]</v>
      </c>
      <c r="W9" s="407" t="str">
        <f>"["&amp;Start!$O$7&amp;"]"</f>
        <v>[$]</v>
      </c>
      <c r="X9" s="408" t="str">
        <f>"["&amp;Start!$O$7&amp;"]"</f>
        <v>[$]</v>
      </c>
      <c r="Y9" s="410" t="s">
        <v>19</v>
      </c>
      <c r="Z9" s="407" t="str">
        <f>"["&amp;Start!$O$7&amp;"]"</f>
        <v>[$]</v>
      </c>
      <c r="AA9" s="408" t="s">
        <v>19</v>
      </c>
      <c r="AB9" s="407" t="s">
        <v>19</v>
      </c>
      <c r="AC9" s="407" t="str">
        <f>"["&amp;Start!$O$7&amp;"]"</f>
        <v>[$]</v>
      </c>
      <c r="AD9" s="408" t="s">
        <v>19</v>
      </c>
      <c r="AE9" s="407" t="s">
        <v>19</v>
      </c>
      <c r="AF9" s="407" t="str">
        <f>"["&amp;Start!$O$7&amp;"]"</f>
        <v>[$]</v>
      </c>
      <c r="AG9" s="408" t="s">
        <v>19</v>
      </c>
      <c r="AH9" s="408" t="str">
        <f>"["&amp;Start!$O$7&amp;"]"</f>
        <v>[$]</v>
      </c>
      <c r="BP9" s="333"/>
      <c r="BQ9" s="333"/>
      <c r="BR9" s="285"/>
      <c r="BS9" s="285"/>
      <c r="BT9" s="285"/>
      <c r="BU9" s="285"/>
      <c r="BV9" s="285"/>
      <c r="BW9" s="285"/>
      <c r="BX9" s="285"/>
      <c r="BY9" s="285"/>
      <c r="BZ9" s="285"/>
      <c r="CA9" s="285"/>
      <c r="CB9" s="285"/>
      <c r="CC9" s="285"/>
      <c r="CD9" s="332"/>
      <c r="CE9" s="411"/>
      <c r="CF9" s="285" t="s">
        <v>77</v>
      </c>
      <c r="CG9" s="412"/>
      <c r="CH9" s="285"/>
      <c r="CI9" s="285"/>
      <c r="CJ9" s="285"/>
      <c r="CK9" s="285"/>
      <c r="CL9" s="285">
        <v>0</v>
      </c>
      <c r="CM9" s="285">
        <f>CL9+1</f>
        <v>1</v>
      </c>
      <c r="CN9" s="285">
        <f>CM9</f>
        <v>1</v>
      </c>
      <c r="CO9" s="285">
        <f>CN9+1</f>
        <v>2</v>
      </c>
      <c r="CP9" s="285">
        <f>CO9</f>
        <v>2</v>
      </c>
      <c r="CQ9" s="285">
        <f>CP9+1</f>
        <v>3</v>
      </c>
      <c r="CR9" s="285">
        <f>CQ9</f>
        <v>3</v>
      </c>
      <c r="CS9" s="285">
        <f>CR9+1</f>
        <v>4</v>
      </c>
      <c r="CT9" s="285">
        <f>CS9</f>
        <v>4</v>
      </c>
      <c r="CU9" s="285">
        <f>CT9+1</f>
        <v>5</v>
      </c>
      <c r="CV9" s="285">
        <f>CU9</f>
        <v>5</v>
      </c>
      <c r="CW9" s="285">
        <f>CV9+1</f>
        <v>6</v>
      </c>
      <c r="CX9" s="285">
        <f>CW9</f>
        <v>6</v>
      </c>
      <c r="CY9" s="285">
        <f>CX9+1</f>
        <v>7</v>
      </c>
      <c r="CZ9" s="285">
        <f>CY9</f>
        <v>7</v>
      </c>
      <c r="DA9" s="285">
        <f>CZ9+1</f>
        <v>8</v>
      </c>
      <c r="DB9" s="285">
        <f>DA9</f>
        <v>8</v>
      </c>
      <c r="DC9" s="285">
        <f>DB9+1</f>
        <v>9</v>
      </c>
      <c r="DD9" s="285">
        <f>DC9</f>
        <v>9</v>
      </c>
      <c r="DE9" s="285">
        <f>DD9+1</f>
        <v>10</v>
      </c>
      <c r="DF9" s="285">
        <f>DE9</f>
        <v>10</v>
      </c>
      <c r="DG9" s="285">
        <f>DF9+1</f>
        <v>11</v>
      </c>
      <c r="DH9" s="285">
        <f>DG9</f>
        <v>11</v>
      </c>
      <c r="DI9" s="285">
        <f>DH9+1</f>
        <v>12</v>
      </c>
      <c r="DJ9" s="285">
        <f>DI9</f>
        <v>12</v>
      </c>
      <c r="DK9" s="285">
        <v>13</v>
      </c>
      <c r="DL9" s="333"/>
      <c r="DM9" s="333"/>
      <c r="DN9" s="333"/>
      <c r="DO9" s="333"/>
      <c r="DP9" s="333"/>
      <c r="DQ9" s="333"/>
      <c r="DR9" s="333"/>
    </row>
    <row r="10" spans="1:122" ht="14.25" customHeight="1" x14ac:dyDescent="0.2">
      <c r="A10" s="132" t="str">
        <f t="shared" ref="A10:A21" si="0">B10&amp;$E$2</f>
        <v>Jan2017</v>
      </c>
      <c r="B10" s="199" t="s">
        <v>0</v>
      </c>
      <c r="C10" s="413">
        <f t="shared" ref="C10:C21" si="1">J10+L10+N10</f>
        <v>921954.00000000023</v>
      </c>
      <c r="D10" s="414">
        <f t="shared" ref="D10:D21" si="2">Z10+AC10+AF10</f>
        <v>39073.042815331457</v>
      </c>
      <c r="E10" s="414">
        <f t="shared" ref="E10:E21" si="3">AH10</f>
        <v>466.66666666666697</v>
      </c>
      <c r="F10" s="415">
        <f t="shared" ref="F10:F21" si="4">AH10+Z10+AC10+AF10</f>
        <v>39539.709481998121</v>
      </c>
      <c r="G10" s="416">
        <f>IF((J10+L10+N10)=0,"",F10/(C10))</f>
        <v>4.2886857133867973E-2</v>
      </c>
      <c r="H10" s="417">
        <f t="shared" ref="H10:H21" si="5">C10*$CF$7</f>
        <v>442.5379200000001</v>
      </c>
      <c r="I10" s="702">
        <v>1262445.2272727271</v>
      </c>
      <c r="J10" s="702">
        <v>900231.84810711979</v>
      </c>
      <c r="K10" s="703">
        <f t="shared" ref="K10:K15" si="6">0.77/18</f>
        <v>4.2777777777777776E-2</v>
      </c>
      <c r="L10" s="702">
        <v>871.11219890329528</v>
      </c>
      <c r="M10" s="703">
        <f t="shared" ref="M10:M21" si="7">K10*0.75</f>
        <v>3.2083333333333332E-2</v>
      </c>
      <c r="N10" s="702">
        <v>20851.039693977084</v>
      </c>
      <c r="O10" s="703">
        <f t="shared" ref="O10:O21" si="8">K10*0.6</f>
        <v>2.5666666666666664E-2</v>
      </c>
      <c r="P10" s="8"/>
      <c r="Q10" s="13"/>
      <c r="R10" s="23"/>
      <c r="S10" s="13"/>
      <c r="T10" s="714">
        <v>1000</v>
      </c>
      <c r="U10" s="715">
        <f t="shared" ref="U10:U21" si="9">0.166666666666667*T10</f>
        <v>166.666666666667</v>
      </c>
      <c r="V10" s="714">
        <v>300</v>
      </c>
      <c r="W10" s="714"/>
      <c r="X10" s="13"/>
      <c r="Y10" s="418">
        <f t="shared" ref="Y10:Y21" si="10">IF(J10="","",100*J10/(J10+L10+N10))</f>
        <v>97.643900683452713</v>
      </c>
      <c r="Z10" s="419">
        <f t="shared" ref="Z10:Z21" si="11">J10*K10</f>
        <v>38509.91794680457</v>
      </c>
      <c r="AA10" s="420">
        <f t="shared" ref="AA10:AA21" si="12">IF(Z10=0,"",100*Z10/(Z10+AC10+AF10))</f>
        <v>98.558789313675035</v>
      </c>
      <c r="AB10" s="419">
        <f t="shared" ref="AB10:AB21" si="13">IF(L10="","",100*L10/(L10+J10+N10))</f>
        <v>9.448542973980209E-2</v>
      </c>
      <c r="AC10" s="419">
        <f t="shared" ref="AC10:AC21" si="14">L10*M10</f>
        <v>27.948183048147389</v>
      </c>
      <c r="AD10" s="420">
        <f t="shared" ref="AD10:AD21" si="15">IF(AC10=0,"",100*AC10/(AC10+Z10+AF10))</f>
        <v>7.1528043465253488E-2</v>
      </c>
      <c r="AE10" s="419">
        <f t="shared" ref="AE10:AE21" si="16">IF(N10="","",100*N10/(N10+L10+J10))</f>
        <v>2.2616138868074849</v>
      </c>
      <c r="AF10" s="419">
        <f t="shared" ref="AF10:AF21" si="17">N10*O10</f>
        <v>535.17668547874507</v>
      </c>
      <c r="AG10" s="420">
        <f t="shared" ref="AG10:AG21" si="18">IF(AF10=0,"",100*AF10/(AF10+AC10+Z10))</f>
        <v>1.369682642859728</v>
      </c>
      <c r="AH10" s="420">
        <f t="shared" ref="AH10:AH21" si="19">X10+Q10+S10+U10+W10+V10</f>
        <v>466.66666666666697</v>
      </c>
      <c r="BR10" s="293">
        <f t="shared" ref="BR10:BR21" si="20">P10</f>
        <v>0</v>
      </c>
      <c r="BS10" s="293">
        <f t="shared" ref="BS10:BS21" si="21">(BT10/0.95)*1.1</f>
        <v>1157.8947368421054</v>
      </c>
      <c r="BT10" s="293">
        <f t="shared" ref="BT10:BT21" si="22">T10</f>
        <v>1000</v>
      </c>
      <c r="BU10" s="293">
        <f t="shared" ref="BU10:BU21" si="23">Z10</f>
        <v>38509.91794680457</v>
      </c>
      <c r="BV10" s="293">
        <f t="shared" ref="BV10:BV21" si="24">AC10</f>
        <v>27.948183048147389</v>
      </c>
      <c r="BW10" s="293">
        <f t="shared" ref="BW10:BW21" si="25">Q10</f>
        <v>0</v>
      </c>
      <c r="BX10" s="293">
        <f t="shared" ref="BX10:BX21" si="26">S10</f>
        <v>0</v>
      </c>
      <c r="BY10" s="293">
        <f t="shared" ref="BY10:BY21" si="27">U10</f>
        <v>166.666666666667</v>
      </c>
      <c r="BZ10" s="293">
        <f t="shared" ref="BZ10:BZ21" si="28">V10</f>
        <v>300</v>
      </c>
      <c r="CA10" s="293">
        <f t="shared" ref="CA10:CA21" si="29">W10</f>
        <v>0</v>
      </c>
      <c r="CB10" s="293">
        <f t="shared" ref="CB10:CB21" si="30">X10</f>
        <v>0</v>
      </c>
      <c r="CC10" s="293">
        <f t="shared" ref="CC10:CC21" si="31">J10</f>
        <v>900231.84810711979</v>
      </c>
      <c r="CD10" s="293">
        <f t="shared" ref="CD10:CD21" si="32">L10</f>
        <v>871.11219890329528</v>
      </c>
      <c r="CE10" s="293" t="s">
        <v>73</v>
      </c>
      <c r="CF10" s="421">
        <f>L4</f>
        <v>0</v>
      </c>
      <c r="CG10" s="293" t="str">
        <f>M4</f>
        <v>Licensed Green Supplier</v>
      </c>
      <c r="CH10" s="293"/>
      <c r="CI10" s="293">
        <f t="shared" ref="CI10:CI21" si="33">C10</f>
        <v>921954.00000000023</v>
      </c>
      <c r="CJ10" s="293">
        <f t="shared" ref="CJ10:CJ21" si="34">CI10+CJ9</f>
        <v>921954.00000000023</v>
      </c>
      <c r="CK10" s="293">
        <f t="shared" ref="CK10:CK21" si="35">I10+CK9</f>
        <v>1262445.2272727271</v>
      </c>
      <c r="CL10" s="293" t="str">
        <f>CJ8</f>
        <v>Actual (Cumulative)</v>
      </c>
      <c r="CM10" s="293">
        <v>0</v>
      </c>
      <c r="CN10" s="293">
        <f>CJ10</f>
        <v>921954.00000000023</v>
      </c>
      <c r="CO10" s="293">
        <f>CN10</f>
        <v>921954.00000000023</v>
      </c>
      <c r="CP10" s="293">
        <f>CJ11</f>
        <v>1848000.0000000005</v>
      </c>
      <c r="CQ10" s="293">
        <f>CP10</f>
        <v>1848000.0000000005</v>
      </c>
      <c r="CR10" s="293">
        <f>CJ12</f>
        <v>2782136.0000000005</v>
      </c>
      <c r="CS10" s="293">
        <f>CR10</f>
        <v>2782136.0000000005</v>
      </c>
      <c r="CT10" s="293">
        <f>CJ13</f>
        <v>3936390.0000000005</v>
      </c>
      <c r="CU10" s="293">
        <f>CT10</f>
        <v>3936390.0000000005</v>
      </c>
      <c r="CV10" s="293">
        <f>CJ14</f>
        <v>5275712.0000000009</v>
      </c>
      <c r="CW10" s="293">
        <f>CV10</f>
        <v>5275712.0000000009</v>
      </c>
      <c r="CX10" s="293">
        <f>CJ15</f>
        <v>6855191.0000000009</v>
      </c>
      <c r="CY10" s="293">
        <f>CX10</f>
        <v>6855191.0000000009</v>
      </c>
      <c r="CZ10" s="293">
        <f>CJ16</f>
        <v>8029099.0000000009</v>
      </c>
      <c r="DA10" s="293">
        <f>CZ10</f>
        <v>8029099.0000000009</v>
      </c>
      <c r="DB10" s="293">
        <f>CJ17</f>
        <v>9403210</v>
      </c>
      <c r="DC10" s="293">
        <f>DB10</f>
        <v>9403210</v>
      </c>
      <c r="DD10" s="293">
        <f>CJ18</f>
        <v>10953892</v>
      </c>
      <c r="DE10" s="293">
        <f>DD10</f>
        <v>10953892</v>
      </c>
      <c r="DF10" s="293">
        <f>CJ19</f>
        <v>12330294</v>
      </c>
      <c r="DG10" s="293">
        <f>DF10</f>
        <v>12330294</v>
      </c>
      <c r="DH10" s="293">
        <f>CJ20</f>
        <v>13811788</v>
      </c>
      <c r="DI10" s="293">
        <f>DH10</f>
        <v>13811788</v>
      </c>
      <c r="DJ10" s="293">
        <f>CJ21</f>
        <v>15141730</v>
      </c>
      <c r="DK10" s="293">
        <f>DJ10</f>
        <v>15141730</v>
      </c>
    </row>
    <row r="11" spans="1:122" ht="14.25" customHeight="1" x14ac:dyDescent="0.2">
      <c r="A11" s="132" t="str">
        <f t="shared" si="0"/>
        <v>Feb2017</v>
      </c>
      <c r="B11" s="199" t="s">
        <v>1</v>
      </c>
      <c r="C11" s="413">
        <f t="shared" si="1"/>
        <v>926046.00000000012</v>
      </c>
      <c r="D11" s="414">
        <f t="shared" si="2"/>
        <v>38775.246651502217</v>
      </c>
      <c r="E11" s="414">
        <f t="shared" si="3"/>
        <v>466.66666666666697</v>
      </c>
      <c r="F11" s="415">
        <f t="shared" si="4"/>
        <v>39241.913318168881</v>
      </c>
      <c r="G11" s="416">
        <f t="shared" ref="G11:G22" si="36">IF((J11+L11+N11)=0,"",F11/(C11))</f>
        <v>4.2375771093626967E-2</v>
      </c>
      <c r="H11" s="422">
        <f t="shared" si="5"/>
        <v>444.50208000000009</v>
      </c>
      <c r="I11" s="702">
        <v>1262445.2272727271</v>
      </c>
      <c r="J11" s="704">
        <v>851522.98462713591</v>
      </c>
      <c r="K11" s="703">
        <f t="shared" si="6"/>
        <v>4.2777777777777776E-2</v>
      </c>
      <c r="L11" s="702">
        <v>67983.623046596986</v>
      </c>
      <c r="M11" s="703">
        <f t="shared" si="7"/>
        <v>3.2083333333333332E-2</v>
      </c>
      <c r="N11" s="702">
        <v>6539.3923262672415</v>
      </c>
      <c r="O11" s="703">
        <f t="shared" si="8"/>
        <v>2.5666666666666664E-2</v>
      </c>
      <c r="P11" s="5"/>
      <c r="Q11" s="4"/>
      <c r="R11" s="24"/>
      <c r="S11" s="4"/>
      <c r="T11" s="714">
        <v>1000</v>
      </c>
      <c r="U11" s="715">
        <f t="shared" si="9"/>
        <v>166.666666666667</v>
      </c>
      <c r="V11" s="716">
        <v>300</v>
      </c>
      <c r="W11" s="716"/>
      <c r="X11" s="4"/>
      <c r="Y11" s="418">
        <f t="shared" si="10"/>
        <v>91.952557932018038</v>
      </c>
      <c r="Z11" s="419">
        <f t="shared" si="11"/>
        <v>36426.261009049704</v>
      </c>
      <c r="AA11" s="420">
        <f t="shared" si="12"/>
        <v>93.94204848375476</v>
      </c>
      <c r="AB11" s="419">
        <f t="shared" si="13"/>
        <v>7.3412792719364885</v>
      </c>
      <c r="AC11" s="419">
        <f t="shared" si="14"/>
        <v>2181.1412394116533</v>
      </c>
      <c r="AD11" s="420">
        <f t="shared" si="15"/>
        <v>5.6250866925875567</v>
      </c>
      <c r="AE11" s="419">
        <f t="shared" si="16"/>
        <v>0.70616279604547083</v>
      </c>
      <c r="AF11" s="419">
        <f t="shared" si="17"/>
        <v>167.84440304085919</v>
      </c>
      <c r="AG11" s="420">
        <f t="shared" si="18"/>
        <v>0.43286482365768936</v>
      </c>
      <c r="AH11" s="423">
        <f t="shared" si="19"/>
        <v>466.66666666666697</v>
      </c>
      <c r="BR11" s="293">
        <f t="shared" si="20"/>
        <v>0</v>
      </c>
      <c r="BS11" s="293">
        <f t="shared" si="21"/>
        <v>1157.8947368421054</v>
      </c>
      <c r="BT11" s="293">
        <f t="shared" si="22"/>
        <v>1000</v>
      </c>
      <c r="BU11" s="293">
        <f t="shared" si="23"/>
        <v>36426.261009049704</v>
      </c>
      <c r="BV11" s="293">
        <f t="shared" si="24"/>
        <v>2181.1412394116533</v>
      </c>
      <c r="BW11" s="293">
        <f t="shared" si="25"/>
        <v>0</v>
      </c>
      <c r="BX11" s="293">
        <f t="shared" si="26"/>
        <v>0</v>
      </c>
      <c r="BY11" s="293">
        <f t="shared" si="27"/>
        <v>166.666666666667</v>
      </c>
      <c r="BZ11" s="293">
        <f t="shared" si="28"/>
        <v>300</v>
      </c>
      <c r="CA11" s="293">
        <f t="shared" si="29"/>
        <v>0</v>
      </c>
      <c r="CB11" s="293">
        <f t="shared" si="30"/>
        <v>0</v>
      </c>
      <c r="CC11" s="293">
        <f t="shared" si="31"/>
        <v>851522.98462713591</v>
      </c>
      <c r="CD11" s="293">
        <f t="shared" si="32"/>
        <v>67983.623046596986</v>
      </c>
      <c r="CE11" s="293" t="s">
        <v>74</v>
      </c>
      <c r="CF11" s="421">
        <f>L5</f>
        <v>4.8000000000000001E-4</v>
      </c>
      <c r="CG11" s="293" t="str">
        <f>M5</f>
        <v>Electricity - Average Generation Mix</v>
      </c>
      <c r="CH11" s="293"/>
      <c r="CI11" s="293">
        <f t="shared" si="33"/>
        <v>926046.00000000012</v>
      </c>
      <c r="CJ11" s="293">
        <f t="shared" si="34"/>
        <v>1848000.0000000005</v>
      </c>
      <c r="CK11" s="293">
        <f t="shared" si="35"/>
        <v>2524890.4545454541</v>
      </c>
      <c r="CL11" s="293" t="str">
        <f>CK8</f>
        <v>Target (Cumulative)</v>
      </c>
      <c r="CM11" s="293">
        <v>0</v>
      </c>
      <c r="CN11" s="293">
        <f>CK10</f>
        <v>1262445.2272727271</v>
      </c>
      <c r="CO11" s="293">
        <f>CN11</f>
        <v>1262445.2272727271</v>
      </c>
      <c r="CP11" s="293">
        <f>CK11</f>
        <v>2524890.4545454541</v>
      </c>
      <c r="CQ11" s="293">
        <f>CP11</f>
        <v>2524890.4545454541</v>
      </c>
      <c r="CR11" s="293">
        <f>CK12</f>
        <v>3787335.6818181812</v>
      </c>
      <c r="CS11" s="293">
        <f>CR11</f>
        <v>3787335.6818181812</v>
      </c>
      <c r="CT11" s="293">
        <f>CK13</f>
        <v>5049780.9090909082</v>
      </c>
      <c r="CU11" s="293">
        <f>CT11</f>
        <v>5049780.9090909082</v>
      </c>
      <c r="CV11" s="293">
        <f>CK14</f>
        <v>6312226.1363636348</v>
      </c>
      <c r="CW11" s="293">
        <f>CV11</f>
        <v>6312226.1363636348</v>
      </c>
      <c r="CX11" s="293">
        <f>CK15</f>
        <v>7574671.3636363614</v>
      </c>
      <c r="CY11" s="293">
        <f>CX11</f>
        <v>7574671.3636363614</v>
      </c>
      <c r="CZ11" s="293">
        <f>CK16</f>
        <v>8837116.590909088</v>
      </c>
      <c r="DA11" s="293">
        <f>CZ11</f>
        <v>8837116.590909088</v>
      </c>
      <c r="DB11" s="293">
        <f>CK17</f>
        <v>10099561.818181815</v>
      </c>
      <c r="DC11" s="293">
        <f>DB11</f>
        <v>10099561.818181815</v>
      </c>
      <c r="DD11" s="293">
        <f>CK18</f>
        <v>11362007.045454541</v>
      </c>
      <c r="DE11" s="293">
        <f>DD11</f>
        <v>11362007.045454541</v>
      </c>
      <c r="DF11" s="293">
        <f>CK19</f>
        <v>12624452.272727268</v>
      </c>
      <c r="DG11" s="293">
        <f>DF11</f>
        <v>12624452.272727268</v>
      </c>
      <c r="DH11" s="293">
        <f>CK20</f>
        <v>13886897.499999994</v>
      </c>
      <c r="DI11" s="293">
        <f>DH11</f>
        <v>13886897.499999994</v>
      </c>
      <c r="DJ11" s="293">
        <f>CK21</f>
        <v>15149342.727272721</v>
      </c>
      <c r="DK11" s="293">
        <f>DJ11</f>
        <v>15149342.727272721</v>
      </c>
    </row>
    <row r="12" spans="1:122" ht="14.25" customHeight="1" x14ac:dyDescent="0.2">
      <c r="A12" s="132" t="str">
        <f t="shared" si="0"/>
        <v>Mar2017</v>
      </c>
      <c r="B12" s="199" t="s">
        <v>2</v>
      </c>
      <c r="C12" s="413">
        <f t="shared" si="1"/>
        <v>934136</v>
      </c>
      <c r="D12" s="414">
        <f t="shared" si="2"/>
        <v>37183.745219452212</v>
      </c>
      <c r="E12" s="414">
        <f t="shared" si="3"/>
        <v>466.66666666666697</v>
      </c>
      <c r="F12" s="415">
        <f t="shared" si="4"/>
        <v>37650.411886118884</v>
      </c>
      <c r="G12" s="416">
        <f t="shared" si="36"/>
        <v>4.030506466522956E-2</v>
      </c>
      <c r="H12" s="422">
        <f t="shared" si="5"/>
        <v>448.38528000000002</v>
      </c>
      <c r="I12" s="702">
        <v>1262445.2272727271</v>
      </c>
      <c r="J12" s="704">
        <v>718322.35756939452</v>
      </c>
      <c r="K12" s="703">
        <f t="shared" si="6"/>
        <v>4.2777777777777776E-2</v>
      </c>
      <c r="L12" s="702">
        <v>142799.09799797772</v>
      </c>
      <c r="M12" s="703">
        <f t="shared" si="7"/>
        <v>3.2083333333333332E-2</v>
      </c>
      <c r="N12" s="702">
        <v>73014.544432627707</v>
      </c>
      <c r="O12" s="703">
        <f t="shared" si="8"/>
        <v>2.5666666666666664E-2</v>
      </c>
      <c r="P12" s="5"/>
      <c r="Q12" s="4"/>
      <c r="R12" s="24"/>
      <c r="S12" s="4"/>
      <c r="T12" s="714">
        <v>1000</v>
      </c>
      <c r="U12" s="715">
        <f t="shared" si="9"/>
        <v>166.666666666667</v>
      </c>
      <c r="V12" s="716">
        <v>300</v>
      </c>
      <c r="W12" s="716"/>
      <c r="X12" s="4"/>
      <c r="Y12" s="418">
        <f t="shared" si="10"/>
        <v>76.896978338207134</v>
      </c>
      <c r="Z12" s="419">
        <f t="shared" si="11"/>
        <v>30728.234184912984</v>
      </c>
      <c r="AA12" s="420">
        <f t="shared" si="12"/>
        <v>82.638889664180169</v>
      </c>
      <c r="AB12" s="419">
        <f t="shared" si="13"/>
        <v>15.286756746124517</v>
      </c>
      <c r="AC12" s="419">
        <f t="shared" si="14"/>
        <v>4581.4710607684519</v>
      </c>
      <c r="AD12" s="420">
        <f t="shared" si="15"/>
        <v>12.321166234679643</v>
      </c>
      <c r="AE12" s="419">
        <f t="shared" si="16"/>
        <v>7.8162649156683512</v>
      </c>
      <c r="AF12" s="419">
        <f t="shared" si="17"/>
        <v>1874.0399737707776</v>
      </c>
      <c r="AG12" s="420">
        <f t="shared" si="18"/>
        <v>5.0399441011401853</v>
      </c>
      <c r="AH12" s="423">
        <f t="shared" si="19"/>
        <v>466.66666666666697</v>
      </c>
      <c r="BR12" s="293">
        <f t="shared" si="20"/>
        <v>0</v>
      </c>
      <c r="BS12" s="293">
        <f t="shared" si="21"/>
        <v>1157.8947368421054</v>
      </c>
      <c r="BT12" s="293">
        <f t="shared" si="22"/>
        <v>1000</v>
      </c>
      <c r="BU12" s="293">
        <f t="shared" si="23"/>
        <v>30728.234184912984</v>
      </c>
      <c r="BV12" s="293">
        <f t="shared" si="24"/>
        <v>4581.4710607684519</v>
      </c>
      <c r="BW12" s="293">
        <f t="shared" si="25"/>
        <v>0</v>
      </c>
      <c r="BX12" s="293">
        <f t="shared" si="26"/>
        <v>0</v>
      </c>
      <c r="BY12" s="293">
        <f t="shared" si="27"/>
        <v>166.666666666667</v>
      </c>
      <c r="BZ12" s="293">
        <f t="shared" si="28"/>
        <v>300</v>
      </c>
      <c r="CA12" s="293">
        <f t="shared" si="29"/>
        <v>0</v>
      </c>
      <c r="CB12" s="293">
        <f t="shared" si="30"/>
        <v>0</v>
      </c>
      <c r="CC12" s="293">
        <f t="shared" si="31"/>
        <v>718322.35756939452</v>
      </c>
      <c r="CD12" s="293">
        <f t="shared" si="32"/>
        <v>142799.09799797772</v>
      </c>
      <c r="CE12" s="370">
        <v>0</v>
      </c>
      <c r="CF12" s="424"/>
      <c r="CG12" s="370">
        <v>0</v>
      </c>
      <c r="CH12" s="370"/>
      <c r="CI12" s="293">
        <f t="shared" si="33"/>
        <v>934136</v>
      </c>
      <c r="CJ12" s="293">
        <f t="shared" si="34"/>
        <v>2782136.0000000005</v>
      </c>
      <c r="CK12" s="293">
        <f t="shared" si="35"/>
        <v>3787335.6818181812</v>
      </c>
    </row>
    <row r="13" spans="1:122" ht="14.25" customHeight="1" x14ac:dyDescent="0.2">
      <c r="A13" s="132" t="str">
        <f t="shared" si="0"/>
        <v>Apr2017</v>
      </c>
      <c r="B13" s="199" t="s">
        <v>3</v>
      </c>
      <c r="C13" s="413">
        <f t="shared" si="1"/>
        <v>1154254</v>
      </c>
      <c r="D13" s="414">
        <f t="shared" si="2"/>
        <v>45474.761721790594</v>
      </c>
      <c r="E13" s="414">
        <f t="shared" si="3"/>
        <v>466.66666666666697</v>
      </c>
      <c r="F13" s="415">
        <f t="shared" si="4"/>
        <v>45941.428388457258</v>
      </c>
      <c r="G13" s="416">
        <f t="shared" si="36"/>
        <v>3.9801835981038196E-2</v>
      </c>
      <c r="H13" s="422">
        <f t="shared" si="5"/>
        <v>554.04192</v>
      </c>
      <c r="I13" s="702">
        <v>1262445.2272727271</v>
      </c>
      <c r="J13" s="704">
        <v>866345.18824608077</v>
      </c>
      <c r="K13" s="703">
        <f t="shared" si="6"/>
        <v>4.2777777777777776E-2</v>
      </c>
      <c r="L13" s="702">
        <v>159706.0174237043</v>
      </c>
      <c r="M13" s="703">
        <f t="shared" si="7"/>
        <v>3.2083333333333332E-2</v>
      </c>
      <c r="N13" s="702">
        <v>128202.79433021486</v>
      </c>
      <c r="O13" s="703">
        <f t="shared" si="8"/>
        <v>2.5666666666666664E-2</v>
      </c>
      <c r="P13" s="5"/>
      <c r="Q13" s="4"/>
      <c r="R13" s="24"/>
      <c r="S13" s="4"/>
      <c r="T13" s="714">
        <v>1000</v>
      </c>
      <c r="U13" s="715">
        <f t="shared" si="9"/>
        <v>166.666666666667</v>
      </c>
      <c r="V13" s="716">
        <v>300</v>
      </c>
      <c r="W13" s="716"/>
      <c r="X13" s="4"/>
      <c r="Y13" s="418">
        <f t="shared" si="10"/>
        <v>75.056719599505897</v>
      </c>
      <c r="Z13" s="419">
        <f t="shared" si="11"/>
        <v>37060.3219416379</v>
      </c>
      <c r="AA13" s="420">
        <f t="shared" si="12"/>
        <v>81.496462077951549</v>
      </c>
      <c r="AB13" s="419">
        <f t="shared" si="13"/>
        <v>13.836297506762316</v>
      </c>
      <c r="AC13" s="419">
        <f t="shared" si="14"/>
        <v>5123.9013923438461</v>
      </c>
      <c r="AD13" s="420">
        <f t="shared" si="15"/>
        <v>11.267571721851541</v>
      </c>
      <c r="AE13" s="419">
        <f t="shared" si="16"/>
        <v>11.106982893731784</v>
      </c>
      <c r="AF13" s="419">
        <f t="shared" si="17"/>
        <v>3290.5383878088478</v>
      </c>
      <c r="AG13" s="420">
        <f t="shared" si="18"/>
        <v>7.2359662001969065</v>
      </c>
      <c r="AH13" s="423">
        <f t="shared" si="19"/>
        <v>466.66666666666697</v>
      </c>
      <c r="BR13" s="293">
        <f t="shared" si="20"/>
        <v>0</v>
      </c>
      <c r="BS13" s="293">
        <f t="shared" si="21"/>
        <v>1157.8947368421054</v>
      </c>
      <c r="BT13" s="293">
        <f>T13</f>
        <v>1000</v>
      </c>
      <c r="BU13" s="293">
        <f t="shared" si="23"/>
        <v>37060.3219416379</v>
      </c>
      <c r="BV13" s="293">
        <f t="shared" si="24"/>
        <v>5123.9013923438461</v>
      </c>
      <c r="BW13" s="293">
        <f t="shared" si="25"/>
        <v>0</v>
      </c>
      <c r="BX13" s="293">
        <f t="shared" si="26"/>
        <v>0</v>
      </c>
      <c r="BY13" s="293">
        <f t="shared" si="27"/>
        <v>166.666666666667</v>
      </c>
      <c r="BZ13" s="293">
        <f t="shared" si="28"/>
        <v>300</v>
      </c>
      <c r="CA13" s="293">
        <f t="shared" si="29"/>
        <v>0</v>
      </c>
      <c r="CB13" s="293">
        <f t="shared" si="30"/>
        <v>0</v>
      </c>
      <c r="CC13" s="293">
        <f t="shared" si="31"/>
        <v>866345.18824608077</v>
      </c>
      <c r="CD13" s="293">
        <f t="shared" si="32"/>
        <v>159706.0174237043</v>
      </c>
      <c r="CE13" s="370">
        <v>0</v>
      </c>
      <c r="CF13" s="424"/>
      <c r="CG13" s="370">
        <v>0</v>
      </c>
      <c r="CH13" s="370"/>
      <c r="CI13" s="293">
        <f t="shared" si="33"/>
        <v>1154254</v>
      </c>
      <c r="CJ13" s="293">
        <f t="shared" si="34"/>
        <v>3936390.0000000005</v>
      </c>
      <c r="CK13" s="293">
        <f t="shared" si="35"/>
        <v>5049780.9090909082</v>
      </c>
    </row>
    <row r="14" spans="1:122" ht="14.25" customHeight="1" x14ac:dyDescent="0.2">
      <c r="A14" s="132" t="str">
        <f t="shared" si="0"/>
        <v>May2017</v>
      </c>
      <c r="B14" s="199" t="s">
        <v>4</v>
      </c>
      <c r="C14" s="413">
        <f t="shared" si="1"/>
        <v>1339322.0000000002</v>
      </c>
      <c r="D14" s="414">
        <f t="shared" si="2"/>
        <v>55496.865546063789</v>
      </c>
      <c r="E14" s="414">
        <f t="shared" si="3"/>
        <v>466.66666666666697</v>
      </c>
      <c r="F14" s="415">
        <f t="shared" si="4"/>
        <v>55963.532212730453</v>
      </c>
      <c r="G14" s="416">
        <f t="shared" si="36"/>
        <v>4.1784971957998483E-2</v>
      </c>
      <c r="H14" s="422">
        <f t="shared" si="5"/>
        <v>642.87456000000009</v>
      </c>
      <c r="I14" s="702">
        <v>1262445.2272727271</v>
      </c>
      <c r="J14" s="704">
        <v>1176428.012341975</v>
      </c>
      <c r="K14" s="703">
        <f t="shared" si="6"/>
        <v>4.2777777777777776E-2</v>
      </c>
      <c r="L14" s="702">
        <v>154432.7967776614</v>
      </c>
      <c r="M14" s="703">
        <f t="shared" si="7"/>
        <v>3.2083333333333332E-2</v>
      </c>
      <c r="N14" s="702">
        <v>8461.1908803637671</v>
      </c>
      <c r="O14" s="703">
        <f t="shared" si="8"/>
        <v>2.5666666666666664E-2</v>
      </c>
      <c r="P14" s="5"/>
      <c r="Q14" s="4"/>
      <c r="R14" s="24"/>
      <c r="S14" s="4"/>
      <c r="T14" s="714">
        <v>1000</v>
      </c>
      <c r="U14" s="715">
        <f t="shared" si="9"/>
        <v>166.666666666667</v>
      </c>
      <c r="V14" s="716">
        <v>300</v>
      </c>
      <c r="W14" s="716"/>
      <c r="X14" s="4"/>
      <c r="Y14" s="418">
        <f t="shared" si="10"/>
        <v>87.837578442075525</v>
      </c>
      <c r="Z14" s="419">
        <f t="shared" si="11"/>
        <v>50324.976083517817</v>
      </c>
      <c r="AA14" s="420">
        <f t="shared" si="12"/>
        <v>90.68075392788954</v>
      </c>
      <c r="AB14" s="419">
        <f t="shared" si="13"/>
        <v>11.530669755119483</v>
      </c>
      <c r="AC14" s="419">
        <f t="shared" si="14"/>
        <v>4954.7188966166359</v>
      </c>
      <c r="AD14" s="420">
        <f t="shared" si="15"/>
        <v>8.9279256546553878</v>
      </c>
      <c r="AE14" s="419">
        <f t="shared" si="16"/>
        <v>0.63175180280498389</v>
      </c>
      <c r="AF14" s="419">
        <f t="shared" si="17"/>
        <v>217.17056592933668</v>
      </c>
      <c r="AG14" s="420">
        <f t="shared" si="18"/>
        <v>0.39132041745507168</v>
      </c>
      <c r="AH14" s="423">
        <f t="shared" si="19"/>
        <v>466.66666666666697</v>
      </c>
      <c r="BR14" s="293">
        <f t="shared" si="20"/>
        <v>0</v>
      </c>
      <c r="BS14" s="293">
        <f t="shared" si="21"/>
        <v>1157.8947368421054</v>
      </c>
      <c r="BT14" s="293">
        <f t="shared" si="22"/>
        <v>1000</v>
      </c>
      <c r="BU14" s="293">
        <f t="shared" si="23"/>
        <v>50324.976083517817</v>
      </c>
      <c r="BV14" s="293">
        <f t="shared" si="24"/>
        <v>4954.7188966166359</v>
      </c>
      <c r="BW14" s="293">
        <f t="shared" si="25"/>
        <v>0</v>
      </c>
      <c r="BX14" s="293">
        <f t="shared" si="26"/>
        <v>0</v>
      </c>
      <c r="BY14" s="293">
        <f t="shared" si="27"/>
        <v>166.666666666667</v>
      </c>
      <c r="BZ14" s="293">
        <f t="shared" si="28"/>
        <v>300</v>
      </c>
      <c r="CA14" s="293">
        <f t="shared" si="29"/>
        <v>0</v>
      </c>
      <c r="CB14" s="293">
        <f t="shared" si="30"/>
        <v>0</v>
      </c>
      <c r="CC14" s="293">
        <f t="shared" si="31"/>
        <v>1176428.012341975</v>
      </c>
      <c r="CD14" s="293">
        <f t="shared" si="32"/>
        <v>154432.7967776614</v>
      </c>
      <c r="CE14" s="370">
        <v>0</v>
      </c>
      <c r="CF14" s="424"/>
      <c r="CG14" s="370">
        <v>0</v>
      </c>
      <c r="CH14" s="370"/>
      <c r="CI14" s="293">
        <f t="shared" si="33"/>
        <v>1339322.0000000002</v>
      </c>
      <c r="CJ14" s="293">
        <f t="shared" si="34"/>
        <v>5275712.0000000009</v>
      </c>
      <c r="CK14" s="293">
        <f t="shared" si="35"/>
        <v>6312226.1363636348</v>
      </c>
    </row>
    <row r="15" spans="1:122" ht="14.25" customHeight="1" x14ac:dyDescent="0.2">
      <c r="A15" s="132" t="str">
        <f t="shared" si="0"/>
        <v>Jun2017</v>
      </c>
      <c r="B15" s="199" t="s">
        <v>5</v>
      </c>
      <c r="C15" s="413">
        <f t="shared" si="1"/>
        <v>1579478.9999999998</v>
      </c>
      <c r="D15" s="414">
        <f t="shared" si="2"/>
        <v>67070.782289385097</v>
      </c>
      <c r="E15" s="414">
        <f t="shared" si="3"/>
        <v>466.66666666666697</v>
      </c>
      <c r="F15" s="415">
        <f t="shared" si="4"/>
        <v>67537.448956051769</v>
      </c>
      <c r="G15" s="416">
        <f t="shared" si="36"/>
        <v>4.2759320608917101E-2</v>
      </c>
      <c r="H15" s="422">
        <f t="shared" si="5"/>
        <v>758.14991999999995</v>
      </c>
      <c r="I15" s="702">
        <v>1262445.2272727271</v>
      </c>
      <c r="J15" s="704">
        <v>1550130.7683249484</v>
      </c>
      <c r="K15" s="703">
        <f t="shared" si="6"/>
        <v>4.2777777777777776E-2</v>
      </c>
      <c r="L15" s="702">
        <v>991.3988298526375</v>
      </c>
      <c r="M15" s="703">
        <f t="shared" si="7"/>
        <v>3.2083333333333332E-2</v>
      </c>
      <c r="N15" s="702">
        <v>28356.83284519874</v>
      </c>
      <c r="O15" s="703">
        <f t="shared" si="8"/>
        <v>2.5666666666666664E-2</v>
      </c>
      <c r="P15" s="5"/>
      <c r="Q15" s="4"/>
      <c r="R15" s="24"/>
      <c r="S15" s="4"/>
      <c r="T15" s="714">
        <v>1000</v>
      </c>
      <c r="U15" s="715">
        <f t="shared" si="9"/>
        <v>166.666666666667</v>
      </c>
      <c r="V15" s="716">
        <v>300</v>
      </c>
      <c r="W15" s="716"/>
      <c r="X15" s="4"/>
      <c r="Y15" s="418">
        <f t="shared" si="10"/>
        <v>98.141904281408515</v>
      </c>
      <c r="Z15" s="419">
        <f t="shared" si="11"/>
        <v>66311.149533900563</v>
      </c>
      <c r="AA15" s="420">
        <f t="shared" si="12"/>
        <v>98.867416288351905</v>
      </c>
      <c r="AB15" s="419">
        <f t="shared" si="13"/>
        <v>6.2767458753971259E-2</v>
      </c>
      <c r="AC15" s="419">
        <f t="shared" si="14"/>
        <v>31.807379124438786</v>
      </c>
      <c r="AD15" s="420">
        <f t="shared" si="15"/>
        <v>4.7423599425457652E-2</v>
      </c>
      <c r="AE15" s="419">
        <f t="shared" si="16"/>
        <v>1.7953282598374998</v>
      </c>
      <c r="AF15" s="419">
        <f t="shared" si="17"/>
        <v>727.8253763601009</v>
      </c>
      <c r="AG15" s="420">
        <f t="shared" si="18"/>
        <v>1.0851601122226504</v>
      </c>
      <c r="AH15" s="423">
        <f t="shared" si="19"/>
        <v>466.66666666666697</v>
      </c>
      <c r="BR15" s="293">
        <f t="shared" si="20"/>
        <v>0</v>
      </c>
      <c r="BS15" s="293">
        <f t="shared" si="21"/>
        <v>1157.8947368421054</v>
      </c>
      <c r="BT15" s="293">
        <f t="shared" si="22"/>
        <v>1000</v>
      </c>
      <c r="BU15" s="293">
        <f t="shared" si="23"/>
        <v>66311.149533900563</v>
      </c>
      <c r="BV15" s="293">
        <f t="shared" si="24"/>
        <v>31.807379124438786</v>
      </c>
      <c r="BW15" s="293">
        <f t="shared" si="25"/>
        <v>0</v>
      </c>
      <c r="BX15" s="293">
        <f t="shared" si="26"/>
        <v>0</v>
      </c>
      <c r="BY15" s="293">
        <f t="shared" si="27"/>
        <v>166.666666666667</v>
      </c>
      <c r="BZ15" s="293">
        <f t="shared" si="28"/>
        <v>300</v>
      </c>
      <c r="CA15" s="293">
        <f t="shared" si="29"/>
        <v>0</v>
      </c>
      <c r="CB15" s="293">
        <f t="shared" si="30"/>
        <v>0</v>
      </c>
      <c r="CC15" s="293">
        <f t="shared" si="31"/>
        <v>1550130.7683249484</v>
      </c>
      <c r="CD15" s="293">
        <f t="shared" si="32"/>
        <v>991.3988298526375</v>
      </c>
      <c r="CE15" s="370">
        <v>0</v>
      </c>
      <c r="CF15" s="424"/>
      <c r="CG15" s="370">
        <v>0</v>
      </c>
      <c r="CH15" s="370"/>
      <c r="CI15" s="293">
        <f t="shared" si="33"/>
        <v>1579478.9999999998</v>
      </c>
      <c r="CJ15" s="293">
        <f t="shared" si="34"/>
        <v>6855191.0000000009</v>
      </c>
      <c r="CK15" s="293">
        <f t="shared" si="35"/>
        <v>7574671.3636363614</v>
      </c>
    </row>
    <row r="16" spans="1:122" ht="14.25" customHeight="1" x14ac:dyDescent="0.2">
      <c r="A16" s="132" t="str">
        <f t="shared" si="0"/>
        <v>Jul2017</v>
      </c>
      <c r="B16" s="199" t="s">
        <v>6</v>
      </c>
      <c r="C16" s="413">
        <f t="shared" si="1"/>
        <v>1173908</v>
      </c>
      <c r="D16" s="414">
        <f t="shared" si="2"/>
        <v>65166.124732208598</v>
      </c>
      <c r="E16" s="414">
        <f t="shared" si="3"/>
        <v>466.66666666666697</v>
      </c>
      <c r="F16" s="415">
        <f t="shared" si="4"/>
        <v>65632.79139887527</v>
      </c>
      <c r="G16" s="416">
        <f t="shared" si="36"/>
        <v>5.5909655099782324E-2</v>
      </c>
      <c r="H16" s="422">
        <f t="shared" si="5"/>
        <v>563.47584000000006</v>
      </c>
      <c r="I16" s="702">
        <v>1262445.2272727271</v>
      </c>
      <c r="J16" s="704">
        <v>1006776.2219065372</v>
      </c>
      <c r="K16" s="703">
        <f t="shared" ref="K16:K21" si="37">1.05/18</f>
        <v>5.8333333333333334E-2</v>
      </c>
      <c r="L16" s="702">
        <v>67188.520501645617</v>
      </c>
      <c r="M16" s="703">
        <f t="shared" si="7"/>
        <v>4.3749999999999997E-2</v>
      </c>
      <c r="N16" s="702">
        <v>99943.257591817179</v>
      </c>
      <c r="O16" s="703">
        <f t="shared" si="8"/>
        <v>3.4999999999999996E-2</v>
      </c>
      <c r="P16" s="5"/>
      <c r="Q16" s="4"/>
      <c r="R16" s="24"/>
      <c r="S16" s="4"/>
      <c r="T16" s="714">
        <v>1000</v>
      </c>
      <c r="U16" s="715">
        <f t="shared" si="9"/>
        <v>166.666666666667</v>
      </c>
      <c r="V16" s="716">
        <v>300</v>
      </c>
      <c r="W16" s="716"/>
      <c r="X16" s="4"/>
      <c r="Y16" s="418">
        <f t="shared" si="10"/>
        <v>85.762787365495171</v>
      </c>
      <c r="Z16" s="419">
        <f t="shared" si="11"/>
        <v>58728.612944548004</v>
      </c>
      <c r="AA16" s="420">
        <f t="shared" si="12"/>
        <v>90.121383135617336</v>
      </c>
      <c r="AB16" s="419">
        <f t="shared" si="13"/>
        <v>5.7234911510651276</v>
      </c>
      <c r="AC16" s="419">
        <f t="shared" si="14"/>
        <v>2939.4977719469957</v>
      </c>
      <c r="AD16" s="420">
        <f t="shared" si="15"/>
        <v>4.5107757811692277</v>
      </c>
      <c r="AE16" s="419">
        <f t="shared" si="16"/>
        <v>8.5137214834396886</v>
      </c>
      <c r="AF16" s="419">
        <f t="shared" si="17"/>
        <v>3498.0140157136011</v>
      </c>
      <c r="AG16" s="420">
        <f t="shared" si="18"/>
        <v>5.3678410832134302</v>
      </c>
      <c r="AH16" s="423">
        <f t="shared" si="19"/>
        <v>466.66666666666697</v>
      </c>
      <c r="BR16" s="293">
        <f t="shared" si="20"/>
        <v>0</v>
      </c>
      <c r="BS16" s="293">
        <f t="shared" si="21"/>
        <v>1157.8947368421054</v>
      </c>
      <c r="BT16" s="293">
        <f t="shared" si="22"/>
        <v>1000</v>
      </c>
      <c r="BU16" s="293">
        <f t="shared" si="23"/>
        <v>58728.612944548004</v>
      </c>
      <c r="BV16" s="293">
        <f t="shared" si="24"/>
        <v>2939.4977719469957</v>
      </c>
      <c r="BW16" s="293">
        <f t="shared" si="25"/>
        <v>0</v>
      </c>
      <c r="BX16" s="293">
        <f t="shared" si="26"/>
        <v>0</v>
      </c>
      <c r="BY16" s="293">
        <f t="shared" si="27"/>
        <v>166.666666666667</v>
      </c>
      <c r="BZ16" s="293">
        <f t="shared" si="28"/>
        <v>300</v>
      </c>
      <c r="CA16" s="293">
        <f t="shared" si="29"/>
        <v>0</v>
      </c>
      <c r="CB16" s="293">
        <f t="shared" si="30"/>
        <v>0</v>
      </c>
      <c r="CC16" s="293">
        <f t="shared" si="31"/>
        <v>1006776.2219065372</v>
      </c>
      <c r="CD16" s="293">
        <f t="shared" si="32"/>
        <v>67188.520501645617</v>
      </c>
      <c r="CE16" s="370">
        <v>0</v>
      </c>
      <c r="CF16" s="424"/>
      <c r="CG16" s="370">
        <v>0</v>
      </c>
      <c r="CH16" s="370"/>
      <c r="CI16" s="293">
        <f t="shared" si="33"/>
        <v>1173908</v>
      </c>
      <c r="CJ16" s="293">
        <f t="shared" si="34"/>
        <v>8029099.0000000009</v>
      </c>
      <c r="CK16" s="293">
        <f t="shared" si="35"/>
        <v>8837116.590909088</v>
      </c>
    </row>
    <row r="17" spans="1:122" ht="14.25" customHeight="1" x14ac:dyDescent="0.2">
      <c r="A17" s="132" t="str">
        <f t="shared" si="0"/>
        <v>Aug2017</v>
      </c>
      <c r="B17" s="199" t="s">
        <v>7</v>
      </c>
      <c r="C17" s="413">
        <f t="shared" si="1"/>
        <v>1374111</v>
      </c>
      <c r="D17" s="414">
        <f t="shared" si="2"/>
        <v>76977.145529451504</v>
      </c>
      <c r="E17" s="414">
        <f t="shared" si="3"/>
        <v>466.66666666666697</v>
      </c>
      <c r="F17" s="415">
        <f t="shared" si="4"/>
        <v>77443.812196118175</v>
      </c>
      <c r="G17" s="416">
        <f t="shared" si="36"/>
        <v>5.6359211298154355E-2</v>
      </c>
      <c r="H17" s="422">
        <f t="shared" si="5"/>
        <v>659.57328000000007</v>
      </c>
      <c r="I17" s="702">
        <v>1262445.2272727271</v>
      </c>
      <c r="J17" s="704">
        <v>1168216.2576440903</v>
      </c>
      <c r="K17" s="703">
        <f t="shared" si="37"/>
        <v>5.8333333333333334E-2</v>
      </c>
      <c r="L17" s="702">
        <v>185700.70679116785</v>
      </c>
      <c r="M17" s="703">
        <f t="shared" si="7"/>
        <v>4.3749999999999997E-2</v>
      </c>
      <c r="N17" s="702">
        <v>20194.03556474176</v>
      </c>
      <c r="O17" s="703">
        <f t="shared" si="8"/>
        <v>3.4999999999999996E-2</v>
      </c>
      <c r="P17" s="5"/>
      <c r="Q17" s="4"/>
      <c r="R17" s="24"/>
      <c r="S17" s="4"/>
      <c r="T17" s="714">
        <v>1000</v>
      </c>
      <c r="U17" s="715">
        <f t="shared" si="9"/>
        <v>166.666666666667</v>
      </c>
      <c r="V17" s="716">
        <v>300</v>
      </c>
      <c r="W17" s="716"/>
      <c r="X17" s="4"/>
      <c r="Y17" s="418">
        <f t="shared" si="10"/>
        <v>85.016149178930263</v>
      </c>
      <c r="Z17" s="419">
        <f t="shared" si="11"/>
        <v>68145.948362571944</v>
      </c>
      <c r="AA17" s="420">
        <f t="shared" si="12"/>
        <v>88.52750760483741</v>
      </c>
      <c r="AB17" s="419">
        <f t="shared" si="13"/>
        <v>13.514243521168803</v>
      </c>
      <c r="AC17" s="419">
        <f t="shared" si="14"/>
        <v>8124.4059221135931</v>
      </c>
      <c r="AD17" s="420">
        <f t="shared" si="15"/>
        <v>10.554309160509453</v>
      </c>
      <c r="AE17" s="419">
        <f t="shared" si="16"/>
        <v>1.4696072999009366</v>
      </c>
      <c r="AF17" s="419">
        <f t="shared" si="17"/>
        <v>706.79124476596155</v>
      </c>
      <c r="AG17" s="420">
        <f t="shared" si="18"/>
        <v>0.91818323465312546</v>
      </c>
      <c r="AH17" s="423">
        <f t="shared" si="19"/>
        <v>466.66666666666697</v>
      </c>
      <c r="BR17" s="293">
        <f t="shared" si="20"/>
        <v>0</v>
      </c>
      <c r="BS17" s="293">
        <f t="shared" si="21"/>
        <v>1157.8947368421054</v>
      </c>
      <c r="BT17" s="293">
        <f t="shared" si="22"/>
        <v>1000</v>
      </c>
      <c r="BU17" s="293">
        <f t="shared" si="23"/>
        <v>68145.948362571944</v>
      </c>
      <c r="BV17" s="293">
        <f t="shared" si="24"/>
        <v>8124.4059221135931</v>
      </c>
      <c r="BW17" s="293">
        <f t="shared" si="25"/>
        <v>0</v>
      </c>
      <c r="BX17" s="293">
        <f t="shared" si="26"/>
        <v>0</v>
      </c>
      <c r="BY17" s="293">
        <f t="shared" si="27"/>
        <v>166.666666666667</v>
      </c>
      <c r="BZ17" s="293">
        <f t="shared" si="28"/>
        <v>300</v>
      </c>
      <c r="CA17" s="293">
        <f t="shared" si="29"/>
        <v>0</v>
      </c>
      <c r="CB17" s="293">
        <f t="shared" si="30"/>
        <v>0</v>
      </c>
      <c r="CC17" s="293">
        <f t="shared" si="31"/>
        <v>1168216.2576440903</v>
      </c>
      <c r="CD17" s="293">
        <f t="shared" si="32"/>
        <v>185700.70679116785</v>
      </c>
      <c r="CE17" s="370">
        <v>0</v>
      </c>
      <c r="CF17" s="424"/>
      <c r="CG17" s="370">
        <v>0</v>
      </c>
      <c r="CH17" s="370"/>
      <c r="CI17" s="293">
        <f t="shared" si="33"/>
        <v>1374111</v>
      </c>
      <c r="CJ17" s="293">
        <f t="shared" si="34"/>
        <v>9403210</v>
      </c>
      <c r="CK17" s="293">
        <f t="shared" si="35"/>
        <v>10099561.818181815</v>
      </c>
    </row>
    <row r="18" spans="1:122" ht="14.25" customHeight="1" x14ac:dyDescent="0.2">
      <c r="A18" s="132" t="str">
        <f t="shared" si="0"/>
        <v>Sep2017</v>
      </c>
      <c r="B18" s="199" t="s">
        <v>8</v>
      </c>
      <c r="C18" s="413">
        <f t="shared" si="1"/>
        <v>1550682.0000000002</v>
      </c>
      <c r="D18" s="414">
        <f t="shared" si="2"/>
        <v>86630.188134177399</v>
      </c>
      <c r="E18" s="414">
        <f t="shared" si="3"/>
        <v>466.66666666666697</v>
      </c>
      <c r="F18" s="415">
        <f t="shared" si="4"/>
        <v>87096.85480084407</v>
      </c>
      <c r="G18" s="416">
        <f t="shared" si="36"/>
        <v>5.6166805831785016E-2</v>
      </c>
      <c r="H18" s="422">
        <f t="shared" si="5"/>
        <v>744.32736000000011</v>
      </c>
      <c r="I18" s="702">
        <v>1262445.2272727271</v>
      </c>
      <c r="J18" s="704">
        <v>1313586.2696298389</v>
      </c>
      <c r="K18" s="703">
        <f t="shared" si="37"/>
        <v>5.8333333333333334E-2</v>
      </c>
      <c r="L18" s="702">
        <v>194968.21060736995</v>
      </c>
      <c r="M18" s="703">
        <f t="shared" si="7"/>
        <v>4.3749999999999997E-2</v>
      </c>
      <c r="N18" s="702">
        <v>42127.519762791395</v>
      </c>
      <c r="O18" s="703">
        <f t="shared" si="8"/>
        <v>3.4999999999999996E-2</v>
      </c>
      <c r="P18" s="5"/>
      <c r="Q18" s="4"/>
      <c r="R18" s="24"/>
      <c r="S18" s="4"/>
      <c r="T18" s="714">
        <v>1000</v>
      </c>
      <c r="U18" s="715">
        <f t="shared" si="9"/>
        <v>166.666666666667</v>
      </c>
      <c r="V18" s="716">
        <v>300</v>
      </c>
      <c r="W18" s="716"/>
      <c r="X18" s="4"/>
      <c r="Y18" s="418">
        <f t="shared" si="10"/>
        <v>84.710228765784265</v>
      </c>
      <c r="Z18" s="419">
        <f t="shared" si="11"/>
        <v>76625.865728407269</v>
      </c>
      <c r="AA18" s="420">
        <f t="shared" si="12"/>
        <v>88.451690315765092</v>
      </c>
      <c r="AB18" s="419">
        <f t="shared" si="13"/>
        <v>12.573062085415961</v>
      </c>
      <c r="AC18" s="419">
        <f t="shared" si="14"/>
        <v>8529.8592140724359</v>
      </c>
      <c r="AD18" s="420">
        <f t="shared" si="15"/>
        <v>9.8462896108004987</v>
      </c>
      <c r="AE18" s="419">
        <f t="shared" si="16"/>
        <v>2.716709148799779</v>
      </c>
      <c r="AF18" s="419">
        <f t="shared" si="17"/>
        <v>1474.4631916976987</v>
      </c>
      <c r="AG18" s="420">
        <f t="shared" si="18"/>
        <v>1.702020073434416</v>
      </c>
      <c r="AH18" s="423">
        <f t="shared" si="19"/>
        <v>466.66666666666697</v>
      </c>
      <c r="BR18" s="293">
        <f t="shared" si="20"/>
        <v>0</v>
      </c>
      <c r="BS18" s="293">
        <f t="shared" si="21"/>
        <v>1157.8947368421054</v>
      </c>
      <c r="BT18" s="293">
        <f t="shared" si="22"/>
        <v>1000</v>
      </c>
      <c r="BU18" s="293">
        <f t="shared" si="23"/>
        <v>76625.865728407269</v>
      </c>
      <c r="BV18" s="293">
        <f t="shared" si="24"/>
        <v>8529.8592140724359</v>
      </c>
      <c r="BW18" s="293">
        <f t="shared" si="25"/>
        <v>0</v>
      </c>
      <c r="BX18" s="293">
        <f t="shared" si="26"/>
        <v>0</v>
      </c>
      <c r="BY18" s="293">
        <f t="shared" si="27"/>
        <v>166.666666666667</v>
      </c>
      <c r="BZ18" s="293">
        <f t="shared" si="28"/>
        <v>300</v>
      </c>
      <c r="CA18" s="293">
        <f t="shared" si="29"/>
        <v>0</v>
      </c>
      <c r="CB18" s="293">
        <f t="shared" si="30"/>
        <v>0</v>
      </c>
      <c r="CC18" s="293">
        <f t="shared" si="31"/>
        <v>1313586.2696298389</v>
      </c>
      <c r="CD18" s="293">
        <f t="shared" si="32"/>
        <v>194968.21060736995</v>
      </c>
      <c r="CE18" s="370">
        <v>0</v>
      </c>
      <c r="CF18" s="424"/>
      <c r="CG18" s="370">
        <v>0</v>
      </c>
      <c r="CH18" s="370"/>
      <c r="CI18" s="293">
        <f t="shared" si="33"/>
        <v>1550682.0000000002</v>
      </c>
      <c r="CJ18" s="293">
        <f t="shared" si="34"/>
        <v>10953892</v>
      </c>
      <c r="CK18" s="293">
        <f t="shared" si="35"/>
        <v>11362007.045454541</v>
      </c>
    </row>
    <row r="19" spans="1:122" ht="14.25" customHeight="1" x14ac:dyDescent="0.2">
      <c r="A19" s="132" t="str">
        <f t="shared" si="0"/>
        <v>Oct2017</v>
      </c>
      <c r="B19" s="199" t="s">
        <v>9</v>
      </c>
      <c r="C19" s="413">
        <f t="shared" si="1"/>
        <v>1376402</v>
      </c>
      <c r="D19" s="414">
        <f t="shared" si="2"/>
        <v>75447.959729481896</v>
      </c>
      <c r="E19" s="414">
        <f t="shared" si="3"/>
        <v>466.66666666666697</v>
      </c>
      <c r="F19" s="415">
        <f t="shared" si="4"/>
        <v>75914.626396148567</v>
      </c>
      <c r="G19" s="416">
        <f t="shared" si="36"/>
        <v>5.5154399947216416E-2</v>
      </c>
      <c r="H19" s="422">
        <f t="shared" si="5"/>
        <v>660.67295999999999</v>
      </c>
      <c r="I19" s="702">
        <v>1262445.2272727271</v>
      </c>
      <c r="J19" s="704">
        <v>1162507.6938871311</v>
      </c>
      <c r="K19" s="703">
        <f t="shared" si="37"/>
        <v>5.8333333333333334E-2</v>
      </c>
      <c r="L19" s="702">
        <v>16995.45205129547</v>
      </c>
      <c r="M19" s="703">
        <f t="shared" si="7"/>
        <v>4.3749999999999997E-2</v>
      </c>
      <c r="N19" s="702">
        <v>196898.8540615736</v>
      </c>
      <c r="O19" s="703">
        <f t="shared" si="8"/>
        <v>3.4999999999999996E-2</v>
      </c>
      <c r="P19" s="5"/>
      <c r="Q19" s="4"/>
      <c r="R19" s="24"/>
      <c r="S19" s="4"/>
      <c r="T19" s="714">
        <v>1000</v>
      </c>
      <c r="U19" s="715">
        <f t="shared" si="9"/>
        <v>166.666666666667</v>
      </c>
      <c r="V19" s="716">
        <v>300</v>
      </c>
      <c r="W19" s="716"/>
      <c r="X19" s="4"/>
      <c r="Y19" s="418">
        <f t="shared" si="10"/>
        <v>84.459895719937279</v>
      </c>
      <c r="Z19" s="419">
        <f t="shared" si="11"/>
        <v>67812.948810082642</v>
      </c>
      <c r="AA19" s="420">
        <f t="shared" si="12"/>
        <v>89.880427586412509</v>
      </c>
      <c r="AB19" s="419">
        <f t="shared" si="13"/>
        <v>1.2347738561332715</v>
      </c>
      <c r="AC19" s="419">
        <f t="shared" si="14"/>
        <v>743.55102724417679</v>
      </c>
      <c r="AD19" s="420">
        <f t="shared" si="15"/>
        <v>0.98551508869182614</v>
      </c>
      <c r="AE19" s="419">
        <f t="shared" si="16"/>
        <v>14.305330423929462</v>
      </c>
      <c r="AF19" s="419">
        <f t="shared" si="17"/>
        <v>6891.4598921550751</v>
      </c>
      <c r="AG19" s="420">
        <f t="shared" si="18"/>
        <v>9.134057324895668</v>
      </c>
      <c r="AH19" s="423">
        <f t="shared" si="19"/>
        <v>466.66666666666697</v>
      </c>
      <c r="BR19" s="293">
        <f t="shared" si="20"/>
        <v>0</v>
      </c>
      <c r="BS19" s="293">
        <f t="shared" si="21"/>
        <v>1157.8947368421054</v>
      </c>
      <c r="BT19" s="293">
        <f t="shared" si="22"/>
        <v>1000</v>
      </c>
      <c r="BU19" s="293">
        <f t="shared" si="23"/>
        <v>67812.948810082642</v>
      </c>
      <c r="BV19" s="293">
        <f t="shared" si="24"/>
        <v>743.55102724417679</v>
      </c>
      <c r="BW19" s="293">
        <f t="shared" si="25"/>
        <v>0</v>
      </c>
      <c r="BX19" s="293">
        <f t="shared" si="26"/>
        <v>0</v>
      </c>
      <c r="BY19" s="293">
        <f t="shared" si="27"/>
        <v>166.666666666667</v>
      </c>
      <c r="BZ19" s="293">
        <f t="shared" si="28"/>
        <v>300</v>
      </c>
      <c r="CA19" s="293">
        <f t="shared" si="29"/>
        <v>0</v>
      </c>
      <c r="CB19" s="293">
        <f t="shared" si="30"/>
        <v>0</v>
      </c>
      <c r="CC19" s="293">
        <f t="shared" si="31"/>
        <v>1162507.6938871311</v>
      </c>
      <c r="CD19" s="293">
        <f t="shared" si="32"/>
        <v>16995.45205129547</v>
      </c>
      <c r="CE19" s="370">
        <v>0</v>
      </c>
      <c r="CF19" s="424"/>
      <c r="CG19" s="370">
        <v>0</v>
      </c>
      <c r="CH19" s="370"/>
      <c r="CI19" s="293">
        <f t="shared" si="33"/>
        <v>1376402</v>
      </c>
      <c r="CJ19" s="293">
        <f t="shared" si="34"/>
        <v>12330294</v>
      </c>
      <c r="CK19" s="293">
        <f t="shared" si="35"/>
        <v>12624452.272727268</v>
      </c>
    </row>
    <row r="20" spans="1:122" ht="14.25" customHeight="1" x14ac:dyDescent="0.2">
      <c r="A20" s="132" t="str">
        <f t="shared" si="0"/>
        <v>Nov2017</v>
      </c>
      <c r="B20" s="199" t="s">
        <v>10</v>
      </c>
      <c r="C20" s="413">
        <f t="shared" si="1"/>
        <v>1481494.0000000002</v>
      </c>
      <c r="D20" s="414">
        <f t="shared" si="2"/>
        <v>82893.971397873524</v>
      </c>
      <c r="E20" s="414">
        <f t="shared" si="3"/>
        <v>466.66666666666697</v>
      </c>
      <c r="F20" s="415">
        <f t="shared" si="4"/>
        <v>83360.638064540195</v>
      </c>
      <c r="G20" s="416">
        <f t="shared" si="36"/>
        <v>5.6267955229342935E-2</v>
      </c>
      <c r="H20" s="422">
        <f t="shared" si="5"/>
        <v>711.11712000000011</v>
      </c>
      <c r="I20" s="702">
        <v>1262445.2272727271</v>
      </c>
      <c r="J20" s="704">
        <v>1250840.2334306743</v>
      </c>
      <c r="K20" s="703">
        <f t="shared" si="37"/>
        <v>5.8333333333333334E-2</v>
      </c>
      <c r="L20" s="702">
        <v>212046.77537041286</v>
      </c>
      <c r="M20" s="703">
        <f t="shared" si="7"/>
        <v>4.3749999999999997E-2</v>
      </c>
      <c r="N20" s="702">
        <v>18606.991198912969</v>
      </c>
      <c r="O20" s="703">
        <f t="shared" si="8"/>
        <v>3.4999999999999996E-2</v>
      </c>
      <c r="P20" s="5"/>
      <c r="Q20" s="4"/>
      <c r="R20" s="24"/>
      <c r="S20" s="4"/>
      <c r="T20" s="714">
        <v>1000</v>
      </c>
      <c r="U20" s="715">
        <f t="shared" si="9"/>
        <v>166.666666666667</v>
      </c>
      <c r="V20" s="716">
        <v>300</v>
      </c>
      <c r="W20" s="716"/>
      <c r="X20" s="4"/>
      <c r="Y20" s="418">
        <f t="shared" si="10"/>
        <v>84.431002314600946</v>
      </c>
      <c r="Z20" s="419">
        <f t="shared" si="11"/>
        <v>72965.680283456008</v>
      </c>
      <c r="AA20" s="420">
        <f t="shared" si="12"/>
        <v>88.02290329804103</v>
      </c>
      <c r="AB20" s="419">
        <f t="shared" si="13"/>
        <v>14.313036392345349</v>
      </c>
      <c r="AC20" s="419">
        <f t="shared" si="14"/>
        <v>9277.0464224555617</v>
      </c>
      <c r="AD20" s="420">
        <f t="shared" si="15"/>
        <v>11.191460930165478</v>
      </c>
      <c r="AE20" s="419">
        <f t="shared" si="16"/>
        <v>1.255961293053699</v>
      </c>
      <c r="AF20" s="419">
        <f t="shared" si="17"/>
        <v>651.24469196195389</v>
      </c>
      <c r="AG20" s="420">
        <f t="shared" si="18"/>
        <v>0.78563577179348443</v>
      </c>
      <c r="AH20" s="423">
        <f t="shared" si="19"/>
        <v>466.66666666666697</v>
      </c>
      <c r="BR20" s="293">
        <f t="shared" si="20"/>
        <v>0</v>
      </c>
      <c r="BS20" s="293">
        <f t="shared" si="21"/>
        <v>1157.8947368421054</v>
      </c>
      <c r="BT20" s="293">
        <f t="shared" si="22"/>
        <v>1000</v>
      </c>
      <c r="BU20" s="293">
        <f t="shared" si="23"/>
        <v>72965.680283456008</v>
      </c>
      <c r="BV20" s="293">
        <f t="shared" si="24"/>
        <v>9277.0464224555617</v>
      </c>
      <c r="BW20" s="293">
        <f t="shared" si="25"/>
        <v>0</v>
      </c>
      <c r="BX20" s="293">
        <f t="shared" si="26"/>
        <v>0</v>
      </c>
      <c r="BY20" s="293">
        <f t="shared" si="27"/>
        <v>166.666666666667</v>
      </c>
      <c r="BZ20" s="293">
        <f t="shared" si="28"/>
        <v>300</v>
      </c>
      <c r="CA20" s="293">
        <f t="shared" si="29"/>
        <v>0</v>
      </c>
      <c r="CB20" s="293">
        <f t="shared" si="30"/>
        <v>0</v>
      </c>
      <c r="CC20" s="293">
        <f t="shared" si="31"/>
        <v>1250840.2334306743</v>
      </c>
      <c r="CD20" s="293">
        <f t="shared" si="32"/>
        <v>212046.77537041286</v>
      </c>
      <c r="CE20" s="370">
        <v>0</v>
      </c>
      <c r="CF20" s="424"/>
      <c r="CG20" s="370">
        <v>0</v>
      </c>
      <c r="CH20" s="370"/>
      <c r="CI20" s="293">
        <f t="shared" si="33"/>
        <v>1481494.0000000002</v>
      </c>
      <c r="CJ20" s="293">
        <f t="shared" si="34"/>
        <v>13811788</v>
      </c>
      <c r="CK20" s="293">
        <f t="shared" si="35"/>
        <v>13886897.499999994</v>
      </c>
    </row>
    <row r="21" spans="1:122" ht="14.25" customHeight="1" x14ac:dyDescent="0.2">
      <c r="A21" s="132" t="str">
        <f t="shared" si="0"/>
        <v>Dec2017</v>
      </c>
      <c r="B21" s="209" t="s">
        <v>11</v>
      </c>
      <c r="C21" s="413">
        <f t="shared" si="1"/>
        <v>1329942</v>
      </c>
      <c r="D21" s="414">
        <f t="shared" si="2"/>
        <v>75582.652512171815</v>
      </c>
      <c r="E21" s="414">
        <f t="shared" si="3"/>
        <v>466.66666666666697</v>
      </c>
      <c r="F21" s="415">
        <f t="shared" si="4"/>
        <v>76049.319178838487</v>
      </c>
      <c r="G21" s="416">
        <f t="shared" si="36"/>
        <v>5.7182432902215648E-2</v>
      </c>
      <c r="H21" s="425">
        <f t="shared" si="5"/>
        <v>638.37216000000001</v>
      </c>
      <c r="I21" s="702">
        <v>1262445.2272727271</v>
      </c>
      <c r="J21" s="705">
        <v>1217318.4317731571</v>
      </c>
      <c r="K21" s="703">
        <f t="shared" si="37"/>
        <v>5.8333333333333334E-2</v>
      </c>
      <c r="L21" s="702">
        <v>72066.945234072744</v>
      </c>
      <c r="M21" s="703">
        <f t="shared" si="7"/>
        <v>4.3749999999999997E-2</v>
      </c>
      <c r="N21" s="702">
        <v>40556.62299277023</v>
      </c>
      <c r="O21" s="703">
        <f t="shared" si="8"/>
        <v>3.4999999999999996E-2</v>
      </c>
      <c r="P21" s="6"/>
      <c r="Q21" s="26"/>
      <c r="R21" s="25"/>
      <c r="S21" s="26"/>
      <c r="T21" s="714">
        <v>1000</v>
      </c>
      <c r="U21" s="715">
        <f t="shared" si="9"/>
        <v>166.666666666667</v>
      </c>
      <c r="V21" s="716">
        <v>300</v>
      </c>
      <c r="W21" s="716"/>
      <c r="X21" s="26"/>
      <c r="Y21" s="418">
        <f t="shared" si="10"/>
        <v>91.53169324475482</v>
      </c>
      <c r="Z21" s="419">
        <f t="shared" si="11"/>
        <v>71010.24185343417</v>
      </c>
      <c r="AA21" s="420">
        <f t="shared" si="12"/>
        <v>93.950449598204685</v>
      </c>
      <c r="AB21" s="419">
        <f t="shared" si="13"/>
        <v>5.4188036195618112</v>
      </c>
      <c r="AC21" s="419">
        <f t="shared" si="14"/>
        <v>3152.9288539906825</v>
      </c>
      <c r="AD21" s="420">
        <f t="shared" si="15"/>
        <v>4.1714980212991799</v>
      </c>
      <c r="AE21" s="419">
        <f t="shared" si="16"/>
        <v>3.0495031356833779</v>
      </c>
      <c r="AF21" s="419">
        <f t="shared" si="17"/>
        <v>1419.481804746958</v>
      </c>
      <c r="AG21" s="420">
        <f t="shared" si="18"/>
        <v>1.8780523804961264</v>
      </c>
      <c r="AH21" s="426">
        <f t="shared" si="19"/>
        <v>466.66666666666697</v>
      </c>
      <c r="BR21" s="293">
        <f t="shared" si="20"/>
        <v>0</v>
      </c>
      <c r="BS21" s="293">
        <f t="shared" si="21"/>
        <v>1157.8947368421054</v>
      </c>
      <c r="BT21" s="293">
        <f t="shared" si="22"/>
        <v>1000</v>
      </c>
      <c r="BU21" s="293">
        <f t="shared" si="23"/>
        <v>71010.24185343417</v>
      </c>
      <c r="BV21" s="293">
        <f t="shared" si="24"/>
        <v>3152.9288539906825</v>
      </c>
      <c r="BW21" s="293">
        <f t="shared" si="25"/>
        <v>0</v>
      </c>
      <c r="BX21" s="293">
        <f t="shared" si="26"/>
        <v>0</v>
      </c>
      <c r="BY21" s="293">
        <f t="shared" si="27"/>
        <v>166.666666666667</v>
      </c>
      <c r="BZ21" s="293">
        <f t="shared" si="28"/>
        <v>300</v>
      </c>
      <c r="CA21" s="293">
        <f t="shared" si="29"/>
        <v>0</v>
      </c>
      <c r="CB21" s="293">
        <f t="shared" si="30"/>
        <v>0</v>
      </c>
      <c r="CC21" s="293">
        <f t="shared" si="31"/>
        <v>1217318.4317731571</v>
      </c>
      <c r="CD21" s="293">
        <f t="shared" si="32"/>
        <v>72066.945234072744</v>
      </c>
      <c r="CE21" s="370">
        <v>0</v>
      </c>
      <c r="CF21" s="424"/>
      <c r="CG21" s="370">
        <v>0</v>
      </c>
      <c r="CH21" s="370"/>
      <c r="CI21" s="293">
        <f t="shared" si="33"/>
        <v>1329942</v>
      </c>
      <c r="CJ21" s="293">
        <f t="shared" si="34"/>
        <v>15141730</v>
      </c>
      <c r="CK21" s="293">
        <f t="shared" si="35"/>
        <v>15149342.727272721</v>
      </c>
    </row>
    <row r="22" spans="1:122" s="210" customFormat="1" ht="14.25" customHeight="1" x14ac:dyDescent="0.2">
      <c r="A22" s="132" t="str">
        <f>B22&amp;A2</f>
        <v>Total</v>
      </c>
      <c r="B22" s="211" t="s">
        <v>23</v>
      </c>
      <c r="C22" s="427">
        <f>SUM(C10:C21)</f>
        <v>15141730</v>
      </c>
      <c r="D22" s="213">
        <f>SUM(D10:D21)</f>
        <v>745772.48627889005</v>
      </c>
      <c r="E22" s="213">
        <f>SUM(E10:E21)</f>
        <v>5600.0000000000036</v>
      </c>
      <c r="F22" s="213">
        <f>SUM(F10:F21)</f>
        <v>751372.48627889028</v>
      </c>
      <c r="G22" s="303">
        <f t="shared" si="36"/>
        <v>4.9622631382206017E-2</v>
      </c>
      <c r="H22" s="304">
        <f>SUM(H10:H21)</f>
        <v>7268.0304000000006</v>
      </c>
      <c r="I22" s="213">
        <f>SUM(I10:I21)</f>
        <v>15149342.727272721</v>
      </c>
      <c r="J22" s="212">
        <f>SUM(J10:J21)</f>
        <v>13182226.267488083</v>
      </c>
      <c r="K22" s="213" t="s">
        <v>33</v>
      </c>
      <c r="L22" s="212">
        <f>SUM(L10:L21)</f>
        <v>1275750.656830661</v>
      </c>
      <c r="M22" s="213" t="s">
        <v>33</v>
      </c>
      <c r="N22" s="212">
        <f>SUM(N10:N21)</f>
        <v>683753.0756812566</v>
      </c>
      <c r="O22" s="213" t="s">
        <v>33</v>
      </c>
      <c r="P22" s="212" t="s">
        <v>33</v>
      </c>
      <c r="Q22" s="214">
        <f>SUM(Q10:Q21)</f>
        <v>0</v>
      </c>
      <c r="R22" s="428" t="s">
        <v>33</v>
      </c>
      <c r="S22" s="214">
        <f>SUM(S10:S21)</f>
        <v>0</v>
      </c>
      <c r="T22" s="428" t="s">
        <v>33</v>
      </c>
      <c r="U22" s="214">
        <f>SUM(U10:U21)</f>
        <v>2000.0000000000039</v>
      </c>
      <c r="V22" s="428">
        <f>SUM(V10:V21)</f>
        <v>3600</v>
      </c>
      <c r="W22" s="338">
        <f>SUM(W10:W21)</f>
        <v>0</v>
      </c>
      <c r="X22" s="214">
        <f>SUM(X10:X21)</f>
        <v>0</v>
      </c>
      <c r="Y22" s="428" t="s">
        <v>33</v>
      </c>
      <c r="Z22" s="213">
        <f>SUM(Z10:Z21)</f>
        <v>674650.15868232353</v>
      </c>
      <c r="AA22" s="214" t="s">
        <v>33</v>
      </c>
      <c r="AB22" s="213" t="s">
        <v>33</v>
      </c>
      <c r="AC22" s="213">
        <f>SUM(AC10:AC21)</f>
        <v>49668.277363136622</v>
      </c>
      <c r="AD22" s="214" t="s">
        <v>33</v>
      </c>
      <c r="AE22" s="213" t="s">
        <v>33</v>
      </c>
      <c r="AF22" s="213">
        <f>SUM(AF10:AF21)</f>
        <v>21454.050233429916</v>
      </c>
      <c r="AG22" s="214" t="s">
        <v>33</v>
      </c>
      <c r="AH22" s="214">
        <f>SUM(AH10:AH21)</f>
        <v>5600.0000000000036</v>
      </c>
      <c r="AI22" s="218"/>
      <c r="AJ22" s="311"/>
      <c r="AK22" s="311"/>
      <c r="AL22" s="218"/>
      <c r="AM22" s="218"/>
      <c r="AN22" s="218"/>
      <c r="AO22" s="218"/>
      <c r="AP22" s="218"/>
      <c r="AQ22" s="311"/>
      <c r="AR22" s="311"/>
      <c r="AS22" s="311"/>
      <c r="AT22" s="312"/>
      <c r="AU22" s="313"/>
      <c r="AV22" s="313"/>
      <c r="AW22" s="218"/>
      <c r="AX22" s="218"/>
      <c r="BP22" s="343"/>
      <c r="BQ22" s="343"/>
      <c r="BR22" s="343"/>
      <c r="BS22" s="343"/>
      <c r="BT22" s="343"/>
      <c r="BU22" s="343"/>
      <c r="BV22" s="343"/>
      <c r="BW22" s="343"/>
      <c r="BX22" s="343"/>
      <c r="BY22" s="343"/>
      <c r="BZ22" s="343"/>
      <c r="CA22" s="343"/>
      <c r="CB22" s="343"/>
      <c r="CC22" s="343"/>
      <c r="CD22" s="343"/>
      <c r="CE22" s="343"/>
      <c r="CF22" s="343"/>
      <c r="CG22" s="343"/>
      <c r="CH22" s="343"/>
      <c r="CI22" s="343"/>
      <c r="CJ22" s="343"/>
      <c r="CK22" s="343"/>
      <c r="CL22" s="343"/>
      <c r="CM22" s="343"/>
      <c r="CN22" s="343"/>
      <c r="CO22" s="343"/>
      <c r="CP22" s="343"/>
      <c r="CQ22" s="343"/>
      <c r="CR22" s="343"/>
      <c r="CS22" s="343"/>
      <c r="CT22" s="343"/>
      <c r="CU22" s="343"/>
      <c r="CV22" s="343"/>
      <c r="CW22" s="343"/>
      <c r="CX22" s="343"/>
      <c r="CY22" s="343"/>
      <c r="CZ22" s="343"/>
      <c r="DA22" s="343"/>
      <c r="DB22" s="343"/>
      <c r="DC22" s="343"/>
      <c r="DD22" s="343"/>
      <c r="DE22" s="343"/>
      <c r="DF22" s="343"/>
      <c r="DG22" s="343"/>
      <c r="DH22" s="343"/>
      <c r="DI22" s="343"/>
      <c r="DJ22" s="343"/>
      <c r="DK22" s="343"/>
      <c r="DL22" s="343"/>
      <c r="DM22" s="343"/>
      <c r="DN22" s="343"/>
      <c r="DO22" s="343"/>
      <c r="DP22" s="343"/>
      <c r="DQ22" s="343"/>
      <c r="DR22" s="343"/>
    </row>
    <row r="23" spans="1:122" s="210" customFormat="1" ht="15" customHeight="1" x14ac:dyDescent="0.2">
      <c r="A23" s="132"/>
      <c r="B23" s="56"/>
      <c r="C23" s="57"/>
      <c r="D23" s="57"/>
      <c r="E23" s="57"/>
      <c r="F23" s="58"/>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30"/>
      <c r="AJ23" s="431"/>
      <c r="AK23" s="431"/>
      <c r="AL23" s="430"/>
      <c r="AM23" s="430"/>
      <c r="AN23" s="430"/>
      <c r="AO23" s="430"/>
      <c r="AP23" s="430"/>
      <c r="AQ23" s="431"/>
      <c r="AR23" s="431"/>
      <c r="AS23" s="431"/>
      <c r="AT23" s="432"/>
      <c r="AU23" s="430"/>
      <c r="AV23" s="430"/>
      <c r="AW23" s="430"/>
      <c r="AX23" s="430"/>
      <c r="AY23" s="431"/>
      <c r="AZ23" s="431"/>
      <c r="BA23" s="431"/>
      <c r="BB23" s="431"/>
      <c r="BC23" s="431"/>
      <c r="BD23" s="431"/>
      <c r="BE23" s="431"/>
      <c r="BF23" s="431"/>
      <c r="BG23" s="431"/>
      <c r="BH23" s="431"/>
      <c r="BI23" s="431"/>
      <c r="BJ23" s="431"/>
      <c r="BK23" s="431"/>
      <c r="BL23" s="431"/>
      <c r="BM23" s="431"/>
      <c r="BN23" s="431"/>
      <c r="BO23" s="431"/>
      <c r="BP23" s="343"/>
      <c r="BQ23" s="343"/>
      <c r="BR23" s="343"/>
      <c r="BS23" s="343"/>
      <c r="BT23" s="343"/>
      <c r="BU23" s="343"/>
      <c r="BV23" s="343"/>
      <c r="BW23" s="343"/>
      <c r="BX23" s="343"/>
      <c r="BY23" s="343"/>
      <c r="BZ23" s="343"/>
      <c r="CA23" s="343"/>
      <c r="CB23" s="343"/>
      <c r="CC23" s="343"/>
      <c r="CD23" s="343"/>
      <c r="CE23" s="343"/>
      <c r="CF23" s="343"/>
      <c r="CG23" s="343"/>
      <c r="CH23" s="343"/>
      <c r="CI23" s="343"/>
      <c r="CJ23" s="343"/>
      <c r="CK23" s="343"/>
      <c r="CL23" s="343"/>
      <c r="CM23" s="343"/>
      <c r="CN23" s="343"/>
      <c r="CO23" s="343"/>
      <c r="CP23" s="343"/>
      <c r="CQ23" s="343"/>
      <c r="CR23" s="343"/>
      <c r="CS23" s="343"/>
      <c r="CT23" s="343"/>
      <c r="CU23" s="343"/>
      <c r="CV23" s="343"/>
      <c r="CW23" s="343"/>
      <c r="CX23" s="343"/>
      <c r="CY23" s="343"/>
      <c r="CZ23" s="343"/>
      <c r="DA23" s="343"/>
      <c r="DB23" s="343"/>
      <c r="DC23" s="343"/>
      <c r="DD23" s="343"/>
      <c r="DE23" s="343"/>
      <c r="DF23" s="343"/>
      <c r="DG23" s="343"/>
      <c r="DH23" s="343"/>
      <c r="DI23" s="343"/>
      <c r="DJ23" s="343"/>
      <c r="DK23" s="343"/>
      <c r="DL23" s="343"/>
      <c r="DM23" s="343"/>
      <c r="DN23" s="343"/>
      <c r="DO23" s="343"/>
      <c r="DP23" s="343"/>
      <c r="DQ23" s="343"/>
      <c r="DR23" s="343"/>
    </row>
    <row r="24" spans="1:122" x14ac:dyDescent="0.2">
      <c r="B24" s="738" t="s">
        <v>170</v>
      </c>
      <c r="C24" s="739"/>
      <c r="D24" s="739"/>
      <c r="E24" s="739"/>
      <c r="F24" s="740"/>
    </row>
    <row r="25" spans="1:122" x14ac:dyDescent="0.2">
      <c r="B25" s="59"/>
      <c r="C25" s="60"/>
      <c r="D25" s="60"/>
      <c r="E25" s="60"/>
      <c r="F25" s="61"/>
    </row>
    <row r="26" spans="1:122" x14ac:dyDescent="0.2">
      <c r="B26" s="741" t="s">
        <v>171</v>
      </c>
      <c r="C26" s="742"/>
      <c r="D26" s="742"/>
      <c r="E26" s="742"/>
      <c r="F26" s="743"/>
    </row>
    <row r="27" spans="1:122" x14ac:dyDescent="0.2">
      <c r="B27" s="62"/>
      <c r="C27" s="63"/>
      <c r="D27" s="63"/>
      <c r="E27" s="63"/>
      <c r="F27" s="64"/>
    </row>
  </sheetData>
  <sheetProtection sheet="1"/>
  <mergeCells count="11">
    <mergeCell ref="B24:F24"/>
    <mergeCell ref="B26:F26"/>
    <mergeCell ref="AB7:AD7"/>
    <mergeCell ref="AE7:AG7"/>
    <mergeCell ref="N7:O7"/>
    <mergeCell ref="B7:I7"/>
    <mergeCell ref="J7:K7"/>
    <mergeCell ref="Y7:AA7"/>
    <mergeCell ref="L7:M7"/>
    <mergeCell ref="P7:U7"/>
    <mergeCell ref="V7:X7"/>
  </mergeCells>
  <phoneticPr fontId="1" type="noConversion"/>
  <dataValidations disablePrompts="1" count="1">
    <dataValidation type="list" allowBlank="1" showInputMessage="1" showErrorMessage="1" sqref="E3" xr:uid="{00000000-0002-0000-0200-000000000000}">
      <formula1>"Yes,No"</formula1>
    </dataValidation>
  </dataValidations>
  <hyperlinks>
    <hyperlink ref="B24" location="Start!R1C1" display="Click here to jump back to start page" xr:uid="{00000000-0004-0000-0200-000000000000}"/>
    <hyperlink ref="B26:F26" location="'(Electricity)'!R1C1" display="Click here to jump to diagrams" xr:uid="{00000000-0004-0000-0200-000001000000}"/>
  </hyperlinks>
  <pageMargins left="0.15748031496062992" right="0.15748031496062992" top="0.98425196850393704" bottom="0.98425196850393704" header="0.51181102362204722" footer="0.51181102362204722"/>
  <pageSetup paperSize="9" scale="99" orientation="landscape" r:id="rId1"/>
  <headerFooter alignWithMargins="0"/>
  <colBreaks count="4" manualBreakCount="4">
    <brk id="19" max="27" man="1"/>
    <brk id="24" min="1" max="21" man="1"/>
    <brk id="50" min="1" max="21" man="1"/>
    <brk id="59" min="1" max="21"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2"/>
  <dimension ref="A1:BL27"/>
  <sheetViews>
    <sheetView showGridLines="0" zoomScaleNormal="100" workbookViewId="0">
      <selection activeCell="I10" sqref="I10:K21"/>
    </sheetView>
  </sheetViews>
  <sheetFormatPr defaultColWidth="9.140625" defaultRowHeight="12.75" x14ac:dyDescent="0.2"/>
  <cols>
    <col min="1" max="1" width="3.140625" style="314" customWidth="1"/>
    <col min="2" max="2" width="4.85546875" style="389" customWidth="1"/>
    <col min="3" max="5" width="8.42578125" style="155" customWidth="1"/>
    <col min="6" max="6" width="9.5703125" style="155" customWidth="1"/>
    <col min="7" max="8" width="8.42578125" style="155" customWidth="1"/>
    <col min="9" max="9" width="9.7109375" style="155" customWidth="1"/>
    <col min="10" max="12" width="13" style="154" customWidth="1"/>
    <col min="13" max="13" width="12.28515625" style="154" customWidth="1"/>
    <col min="14" max="14" width="3" style="160" customWidth="1"/>
    <col min="15" max="16" width="12.5703125" style="160" customWidth="1"/>
    <col min="17" max="17" width="15.140625" style="160" customWidth="1"/>
    <col min="18" max="18" width="14.85546875" style="160" customWidth="1"/>
    <col min="19" max="19" width="14.42578125" style="160" customWidth="1"/>
    <col min="20" max="20" width="10.7109375" style="160" customWidth="1"/>
    <col min="21" max="21" width="12.5703125" style="160" customWidth="1"/>
    <col min="22" max="22" width="30" style="160" customWidth="1"/>
    <col min="23" max="23" width="28" style="160" customWidth="1"/>
    <col min="24" max="29" width="13.28515625" style="160" customWidth="1"/>
    <col min="30" max="30" width="17.140625" style="160" customWidth="1"/>
    <col min="31" max="31" width="30" style="160" customWidth="1"/>
    <col min="32" max="34" width="9.140625" style="161"/>
    <col min="35" max="38" width="9.140625" style="160"/>
    <col min="39" max="39" width="15.5703125" style="160" customWidth="1"/>
    <col min="40" max="16384" width="9.140625" style="154"/>
  </cols>
  <sheetData>
    <row r="1" spans="1:64" ht="17.25" customHeight="1" x14ac:dyDescent="0.2">
      <c r="A1" s="222"/>
      <c r="B1" s="154"/>
      <c r="C1" s="154"/>
      <c r="D1" s="154"/>
      <c r="E1" s="166"/>
      <c r="F1" s="73"/>
      <c r="G1" s="223"/>
      <c r="H1" s="154"/>
      <c r="I1" s="154"/>
      <c r="K1" s="224"/>
      <c r="N1" s="154"/>
      <c r="O1" s="154"/>
      <c r="P1" s="154"/>
      <c r="Q1" s="154"/>
      <c r="R1" s="154"/>
      <c r="S1" s="154"/>
      <c r="T1" s="154"/>
      <c r="U1" s="154"/>
      <c r="V1" s="154"/>
      <c r="W1" s="154"/>
      <c r="X1" s="154"/>
      <c r="Y1" s="154"/>
      <c r="Z1" s="154"/>
      <c r="AA1" s="154"/>
      <c r="AB1" s="154"/>
      <c r="AC1" s="154"/>
      <c r="AD1" s="154"/>
      <c r="AE1" s="154"/>
      <c r="AF1" s="154"/>
      <c r="AG1" s="154"/>
      <c r="AH1" s="154"/>
      <c r="AI1" s="154"/>
      <c r="AJ1" s="154"/>
      <c r="AN1" s="160"/>
      <c r="AO1" s="161"/>
      <c r="AP1" s="161"/>
      <c r="AQ1" s="161"/>
      <c r="AR1" s="161"/>
      <c r="AS1" s="161"/>
      <c r="AT1" s="162"/>
      <c r="AU1" s="162"/>
      <c r="AV1" s="162"/>
      <c r="AW1" s="162"/>
      <c r="AX1" s="162"/>
      <c r="AY1" s="162"/>
      <c r="AZ1" s="162"/>
      <c r="BA1" s="162"/>
      <c r="BB1" s="162"/>
      <c r="BC1" s="162"/>
      <c r="BD1" s="161"/>
      <c r="BE1" s="161"/>
    </row>
    <row r="2" spans="1:64" s="71" customFormat="1" ht="14.25" customHeight="1" x14ac:dyDescent="0.2">
      <c r="A2" s="132"/>
      <c r="B2" s="225"/>
      <c r="C2" s="226"/>
      <c r="D2" s="226" t="s">
        <v>36</v>
      </c>
      <c r="E2" s="317">
        <f>KPI!C3</f>
        <v>2017</v>
      </c>
      <c r="F2" s="228"/>
      <c r="G2" s="228"/>
      <c r="H2" s="229" t="s">
        <v>86</v>
      </c>
      <c r="I2" s="230" t="str">
        <f>Start!H18</f>
        <v>Holding company</v>
      </c>
      <c r="J2" s="318"/>
      <c r="K2" s="237"/>
      <c r="L2" s="237"/>
      <c r="M2" s="237"/>
      <c r="AU2" s="72"/>
      <c r="AV2" s="77"/>
      <c r="AW2" s="77"/>
      <c r="AX2" s="72"/>
      <c r="AY2" s="72"/>
      <c r="AZ2" s="72"/>
      <c r="BA2" s="72"/>
      <c r="BB2" s="72"/>
      <c r="BC2" s="77"/>
      <c r="BD2" s="77"/>
      <c r="BE2" s="77"/>
      <c r="BF2" s="149"/>
      <c r="BG2" s="150"/>
      <c r="BH2" s="149"/>
      <c r="BI2" s="72"/>
      <c r="BJ2" s="72"/>
    </row>
    <row r="3" spans="1:64" s="71" customFormat="1" ht="14.25" customHeight="1" x14ac:dyDescent="0.2">
      <c r="A3" s="132"/>
      <c r="B3" s="238"/>
      <c r="C3" s="320"/>
      <c r="D3" s="320"/>
      <c r="E3" s="240"/>
      <c r="F3" s="240"/>
      <c r="G3" s="240"/>
      <c r="H3" s="241"/>
      <c r="I3" s="242"/>
      <c r="J3" s="321"/>
      <c r="K3" s="237"/>
      <c r="L3" s="237"/>
      <c r="M3" s="237"/>
      <c r="AU3" s="72"/>
      <c r="AV3" s="77"/>
      <c r="AW3" s="77"/>
      <c r="AX3" s="72"/>
      <c r="AY3" s="72"/>
      <c r="AZ3" s="72"/>
      <c r="BA3" s="72"/>
      <c r="BB3" s="72"/>
      <c r="BC3" s="77"/>
      <c r="BD3" s="77"/>
      <c r="BE3" s="77"/>
      <c r="BF3" s="149"/>
      <c r="BG3" s="150"/>
      <c r="BH3" s="149"/>
      <c r="BI3" s="72"/>
      <c r="BJ3" s="72"/>
    </row>
    <row r="4" spans="1:64" s="71" customFormat="1" ht="14.25" customHeight="1" x14ac:dyDescent="0.2">
      <c r="A4" s="132"/>
      <c r="B4" s="238"/>
      <c r="C4" s="248"/>
      <c r="D4" s="248" t="s">
        <v>34</v>
      </c>
      <c r="E4" s="346">
        <f>G22</f>
        <v>8.8490024771746886E-3</v>
      </c>
      <c r="F4" s="250" t="str">
        <f>Start!$O$7&amp;"/kWh"</f>
        <v>$/kWh</v>
      </c>
      <c r="G4" s="240"/>
      <c r="H4" s="241"/>
      <c r="I4" s="242"/>
      <c r="J4" s="321"/>
      <c r="K4" s="237"/>
      <c r="L4" s="237"/>
      <c r="M4" s="237"/>
      <c r="AU4" s="72"/>
      <c r="AV4" s="77"/>
      <c r="AW4" s="77"/>
      <c r="AX4" s="72"/>
      <c r="AY4" s="72"/>
      <c r="AZ4" s="72"/>
      <c r="BA4" s="72"/>
      <c r="BB4" s="72"/>
      <c r="BC4" s="77"/>
      <c r="BD4" s="77"/>
      <c r="BE4" s="77"/>
      <c r="BF4" s="149"/>
      <c r="BG4" s="150"/>
      <c r="BH4" s="149"/>
      <c r="BI4" s="72"/>
      <c r="BJ4" s="72"/>
    </row>
    <row r="5" spans="1:64" s="71" customFormat="1" ht="14.25" customHeight="1" x14ac:dyDescent="0.2">
      <c r="A5" s="132"/>
      <c r="B5" s="251"/>
      <c r="C5" s="252"/>
      <c r="D5" s="252" t="s">
        <v>80</v>
      </c>
      <c r="E5" s="322">
        <f>Start!C18</f>
        <v>2.019438444924406E-4</v>
      </c>
      <c r="F5" s="254" t="s">
        <v>197</v>
      </c>
      <c r="G5" s="323"/>
      <c r="H5" s="255" t="s">
        <v>35</v>
      </c>
      <c r="I5" s="256">
        <f>Start!K18</f>
        <v>50012346</v>
      </c>
      <c r="J5" s="324"/>
      <c r="K5" s="347"/>
      <c r="L5" s="237"/>
      <c r="M5" s="237"/>
      <c r="AU5" s="72"/>
      <c r="AV5" s="77"/>
      <c r="AW5" s="77"/>
      <c r="AX5" s="72"/>
      <c r="AY5" s="72"/>
      <c r="AZ5" s="72"/>
      <c r="BA5" s="72"/>
      <c r="BB5" s="72"/>
      <c r="BC5" s="77"/>
      <c r="BD5" s="77"/>
      <c r="BE5" s="77"/>
      <c r="BF5" s="149"/>
      <c r="BG5" s="150"/>
      <c r="BH5" s="149"/>
      <c r="BI5" s="72"/>
      <c r="BJ5" s="72"/>
    </row>
    <row r="6" spans="1:64" s="71" customFormat="1" ht="15.75" customHeight="1" x14ac:dyDescent="0.2">
      <c r="A6" s="132"/>
      <c r="B6" s="261"/>
      <c r="C6" s="261"/>
      <c r="D6" s="261"/>
      <c r="E6" s="261"/>
      <c r="F6" s="261"/>
      <c r="G6" s="261"/>
      <c r="H6" s="261"/>
      <c r="I6" s="261"/>
      <c r="J6" s="261"/>
      <c r="K6" s="261"/>
      <c r="L6" s="261"/>
      <c r="AU6" s="72"/>
      <c r="AV6" s="77"/>
      <c r="AW6" s="77"/>
      <c r="AX6" s="72"/>
      <c r="AY6" s="72"/>
      <c r="AZ6" s="72"/>
      <c r="BA6" s="72"/>
      <c r="BB6" s="72"/>
      <c r="BC6" s="77"/>
      <c r="BD6" s="77"/>
      <c r="BE6" s="77"/>
      <c r="BF6" s="149"/>
      <c r="BG6" s="150"/>
      <c r="BH6" s="149"/>
      <c r="BI6" s="72"/>
      <c r="BJ6" s="72"/>
    </row>
    <row r="7" spans="1:64" s="174" customFormat="1" ht="27" customHeight="1" x14ac:dyDescent="0.2">
      <c r="A7" s="132"/>
      <c r="B7" s="750" t="s">
        <v>90</v>
      </c>
      <c r="C7" s="751"/>
      <c r="D7" s="751"/>
      <c r="E7" s="751"/>
      <c r="F7" s="751"/>
      <c r="G7" s="751"/>
      <c r="H7" s="751"/>
      <c r="I7" s="752"/>
      <c r="J7" s="753" t="s">
        <v>39</v>
      </c>
      <c r="K7" s="754"/>
      <c r="L7" s="755"/>
      <c r="M7" s="348"/>
      <c r="AF7" s="349"/>
      <c r="AG7" s="349"/>
      <c r="AH7" s="349">
        <f>E2</f>
        <v>2017</v>
      </c>
      <c r="AI7" s="328">
        <f>E5</f>
        <v>2.019438444924406E-4</v>
      </c>
      <c r="AJ7" s="327"/>
      <c r="AK7" s="327"/>
      <c r="AL7" s="327"/>
    </row>
    <row r="8" spans="1:64" s="184" customFormat="1" ht="33.75" x14ac:dyDescent="0.2">
      <c r="A8" s="132"/>
      <c r="B8" s="350">
        <f>IF(E2="","",E2)</f>
        <v>2017</v>
      </c>
      <c r="C8" s="351" t="s">
        <v>206</v>
      </c>
      <c r="D8" s="352" t="s">
        <v>32</v>
      </c>
      <c r="E8" s="352" t="s">
        <v>26</v>
      </c>
      <c r="F8" s="352" t="s">
        <v>16</v>
      </c>
      <c r="G8" s="352" t="s">
        <v>31</v>
      </c>
      <c r="H8" s="353" t="s">
        <v>71</v>
      </c>
      <c r="I8" s="354" t="s">
        <v>205</v>
      </c>
      <c r="J8" s="351" t="s">
        <v>202</v>
      </c>
      <c r="K8" s="352" t="s">
        <v>16</v>
      </c>
      <c r="L8" s="355" t="s">
        <v>20</v>
      </c>
      <c r="M8" s="353" t="s">
        <v>15</v>
      </c>
      <c r="AF8" s="280" t="s">
        <v>20</v>
      </c>
      <c r="AG8" s="280" t="s">
        <v>40</v>
      </c>
      <c r="AH8" s="280" t="s">
        <v>41</v>
      </c>
      <c r="AI8" s="280" t="s">
        <v>76</v>
      </c>
      <c r="AJ8" s="280" t="s">
        <v>106</v>
      </c>
      <c r="AK8" s="280" t="s">
        <v>107</v>
      </c>
      <c r="AL8" s="280" t="s">
        <v>108</v>
      </c>
      <c r="AM8" s="356"/>
      <c r="AN8" s="356"/>
      <c r="AO8" s="356"/>
      <c r="AP8" s="356"/>
      <c r="AQ8" s="356"/>
      <c r="AR8" s="356"/>
      <c r="AS8" s="356"/>
      <c r="AT8" s="356"/>
      <c r="AU8" s="356"/>
      <c r="AV8" s="356"/>
      <c r="AW8" s="356"/>
      <c r="AX8" s="356"/>
      <c r="AY8" s="356"/>
      <c r="AZ8" s="356"/>
      <c r="BA8" s="356"/>
      <c r="BB8" s="356"/>
      <c r="BC8" s="356"/>
      <c r="BD8" s="356"/>
      <c r="BE8" s="356"/>
      <c r="BF8" s="356"/>
      <c r="BG8" s="356"/>
      <c r="BH8" s="356"/>
      <c r="BI8" s="356"/>
      <c r="BJ8" s="356"/>
      <c r="BK8" s="356"/>
      <c r="BL8" s="356"/>
    </row>
    <row r="9" spans="1:64" s="155" customFormat="1" ht="11.25" x14ac:dyDescent="0.2">
      <c r="A9" s="132"/>
      <c r="B9" s="357"/>
      <c r="C9" s="358" t="s">
        <v>13</v>
      </c>
      <c r="D9" s="359" t="str">
        <f>"["&amp;Start!$O$7&amp;"]"</f>
        <v>[$]</v>
      </c>
      <c r="E9" s="359" t="str">
        <f>"["&amp;Start!$O$7&amp;"]"</f>
        <v>[$]</v>
      </c>
      <c r="F9" s="359" t="str">
        <f>"["&amp;Start!$O$7&amp;"]"</f>
        <v>[$]</v>
      </c>
      <c r="G9" s="359" t="str">
        <f>"["&amp;Start!$O$7&amp;"/kWh]"</f>
        <v>[$/kWh]</v>
      </c>
      <c r="H9" s="196" t="s">
        <v>204</v>
      </c>
      <c r="I9" s="360" t="s">
        <v>13</v>
      </c>
      <c r="J9" s="358" t="s">
        <v>13</v>
      </c>
      <c r="K9" s="359" t="str">
        <f>"["&amp;Start!$O$7&amp;"]"</f>
        <v>[$]</v>
      </c>
      <c r="L9" s="361" t="str">
        <f>"["&amp;Start!$O$7&amp;"]"</f>
        <v>[$]</v>
      </c>
      <c r="M9" s="362" t="str">
        <f>"["&amp;Start!$O$7&amp;"/kWh]"</f>
        <v>[$/kWh]</v>
      </c>
      <c r="AF9" s="285"/>
      <c r="AG9" s="285"/>
      <c r="AH9" s="285"/>
      <c r="AI9" s="285" t="s">
        <v>77</v>
      </c>
      <c r="AJ9" s="285"/>
      <c r="AK9" s="285"/>
      <c r="AL9" s="285"/>
      <c r="AM9" s="363">
        <v>0</v>
      </c>
      <c r="AN9" s="363">
        <f>AM9+1</f>
        <v>1</v>
      </c>
      <c r="AO9" s="363">
        <f>AN9</f>
        <v>1</v>
      </c>
      <c r="AP9" s="363">
        <f>AO9+1</f>
        <v>2</v>
      </c>
      <c r="AQ9" s="363">
        <f>AP9</f>
        <v>2</v>
      </c>
      <c r="AR9" s="363">
        <f>AQ9+1</f>
        <v>3</v>
      </c>
      <c r="AS9" s="363">
        <f>AR9</f>
        <v>3</v>
      </c>
      <c r="AT9" s="363">
        <f>AS9+1</f>
        <v>4</v>
      </c>
      <c r="AU9" s="363">
        <f>AT9</f>
        <v>4</v>
      </c>
      <c r="AV9" s="363">
        <f>AU9+1</f>
        <v>5</v>
      </c>
      <c r="AW9" s="363">
        <f>AV9</f>
        <v>5</v>
      </c>
      <c r="AX9" s="363">
        <f>AW9+1</f>
        <v>6</v>
      </c>
      <c r="AY9" s="363">
        <f>AX9</f>
        <v>6</v>
      </c>
      <c r="AZ9" s="363">
        <f>AY9+1</f>
        <v>7</v>
      </c>
      <c r="BA9" s="363">
        <f>AZ9</f>
        <v>7</v>
      </c>
      <c r="BB9" s="363">
        <f>BA9+1</f>
        <v>8</v>
      </c>
      <c r="BC9" s="363">
        <f>BB9</f>
        <v>8</v>
      </c>
      <c r="BD9" s="363">
        <f>BC9+1</f>
        <v>9</v>
      </c>
      <c r="BE9" s="363">
        <f>BD9</f>
        <v>9</v>
      </c>
      <c r="BF9" s="363">
        <f>BE9+1</f>
        <v>10</v>
      </c>
      <c r="BG9" s="363">
        <f>BF9</f>
        <v>10</v>
      </c>
      <c r="BH9" s="363">
        <f>BG9+1</f>
        <v>11</v>
      </c>
      <c r="BI9" s="363">
        <f>BH9</f>
        <v>11</v>
      </c>
      <c r="BJ9" s="363">
        <f>BI9+1</f>
        <v>12</v>
      </c>
      <c r="BK9" s="363">
        <f>BJ9</f>
        <v>12</v>
      </c>
      <c r="BL9" s="363">
        <v>13</v>
      </c>
    </row>
    <row r="10" spans="1:64" ht="14.25" customHeight="1" x14ac:dyDescent="0.2">
      <c r="A10" s="132" t="str">
        <f>B10&amp;$E$2</f>
        <v>Jan2017</v>
      </c>
      <c r="B10" s="364" t="s">
        <v>0</v>
      </c>
      <c r="C10" s="286">
        <f>J10</f>
        <v>624712.5</v>
      </c>
      <c r="D10" s="365">
        <f>K10</f>
        <v>4251.7020204836754</v>
      </c>
      <c r="E10" s="366">
        <f>L10</f>
        <v>20</v>
      </c>
      <c r="F10" s="365">
        <f>D10+E10</f>
        <v>4271.7020204836754</v>
      </c>
      <c r="G10" s="289">
        <f>IF(F10=0,"",F10/C10)</f>
        <v>6.8378686523539638E-3</v>
      </c>
      <c r="H10" s="367">
        <f>C10*AI7</f>
        <v>126.1568439524838</v>
      </c>
      <c r="I10" s="704">
        <v>888112.49999999988</v>
      </c>
      <c r="J10" s="704">
        <v>624712.5</v>
      </c>
      <c r="K10" s="717">
        <v>4251.7020204836754</v>
      </c>
      <c r="L10" s="344">
        <v>20</v>
      </c>
      <c r="M10" s="368">
        <f>IF(J10="","",K10/J10)</f>
        <v>6.8058539255796474E-3</v>
      </c>
      <c r="AF10" s="293">
        <f>L10</f>
        <v>20</v>
      </c>
      <c r="AG10" s="293">
        <f>K10</f>
        <v>4251.7020204836754</v>
      </c>
      <c r="AH10" s="293">
        <f>J10</f>
        <v>624712.5</v>
      </c>
      <c r="AI10" s="285"/>
      <c r="AJ10" s="293">
        <f>C10</f>
        <v>624712.5</v>
      </c>
      <c r="AK10" s="293">
        <f>AJ10+AK9</f>
        <v>624712.5</v>
      </c>
      <c r="AL10" s="293">
        <f>I10</f>
        <v>888112.49999999988</v>
      </c>
      <c r="AM10" s="369" t="str">
        <f>AK8</f>
        <v>Actual (Cumulative)</v>
      </c>
      <c r="AN10" s="369">
        <v>0</v>
      </c>
      <c r="AO10" s="369">
        <f>AK10</f>
        <v>624712.5</v>
      </c>
      <c r="AP10" s="369">
        <f>AO10</f>
        <v>624712.5</v>
      </c>
      <c r="AQ10" s="369">
        <f>AK11</f>
        <v>1415801.25</v>
      </c>
      <c r="AR10" s="369">
        <f>AQ10</f>
        <v>1415801.25</v>
      </c>
      <c r="AS10" s="369">
        <f>AK12</f>
        <v>2321235</v>
      </c>
      <c r="AT10" s="369">
        <f>AS10</f>
        <v>2321235</v>
      </c>
      <c r="AU10" s="369">
        <f>AK13</f>
        <v>3240090</v>
      </c>
      <c r="AV10" s="369">
        <f>AU10</f>
        <v>3240090</v>
      </c>
      <c r="AW10" s="369">
        <f>AK14</f>
        <v>4688010</v>
      </c>
      <c r="AX10" s="369">
        <f>AW10</f>
        <v>4688010</v>
      </c>
      <c r="AY10" s="369">
        <f>AK15</f>
        <v>6128966.25</v>
      </c>
      <c r="AZ10" s="369">
        <f>AY10</f>
        <v>6128966.25</v>
      </c>
      <c r="BA10" s="369">
        <f>AK16</f>
        <v>6974302.5</v>
      </c>
      <c r="BB10" s="369">
        <f>BA10</f>
        <v>6974302.5</v>
      </c>
      <c r="BC10" s="369">
        <f>AK17</f>
        <v>7821888.75</v>
      </c>
      <c r="BD10" s="369">
        <f>BC10</f>
        <v>7821888.75</v>
      </c>
      <c r="BE10" s="369">
        <f>AK18</f>
        <v>8654051.25</v>
      </c>
      <c r="BF10" s="369">
        <f>BE10</f>
        <v>8654051.25</v>
      </c>
      <c r="BG10" s="369">
        <f>AK19</f>
        <v>9596700</v>
      </c>
      <c r="BH10" s="369">
        <f>BG10</f>
        <v>9596700</v>
      </c>
      <c r="BI10" s="369">
        <f>AK20</f>
        <v>10654335</v>
      </c>
      <c r="BJ10" s="369">
        <f>BI10</f>
        <v>10654335</v>
      </c>
      <c r="BK10" s="369">
        <f>AK21</f>
        <v>11723085</v>
      </c>
      <c r="BL10" s="369">
        <f>BK10</f>
        <v>11723085</v>
      </c>
    </row>
    <row r="11" spans="1:64" ht="14.25" customHeight="1" x14ac:dyDescent="0.2">
      <c r="A11" s="132" t="str">
        <f t="shared" ref="A11:A21" si="0">B11&amp;$E$2</f>
        <v>Feb2017</v>
      </c>
      <c r="B11" s="364" t="s">
        <v>1</v>
      </c>
      <c r="C11" s="286">
        <f t="shared" ref="C11:C21" si="1">J11</f>
        <v>791088.75</v>
      </c>
      <c r="D11" s="365">
        <f t="shared" ref="D11:D21" si="2">K11</f>
        <v>5434.3497082192407</v>
      </c>
      <c r="E11" s="366">
        <f t="shared" ref="E11:E21" si="3">L11</f>
        <v>0</v>
      </c>
      <c r="F11" s="365">
        <f t="shared" ref="F11:F21" si="4">D11+E11</f>
        <v>5434.3497082192407</v>
      </c>
      <c r="G11" s="289">
        <f t="shared" ref="G11:G22" si="5">IF(F11=0,"",F11/C11)</f>
        <v>6.8694564398991149E-3</v>
      </c>
      <c r="H11" s="367">
        <f>C11*AI7</f>
        <v>159.75550350971923</v>
      </c>
      <c r="I11" s="704">
        <v>888112.49999999988</v>
      </c>
      <c r="J11" s="704">
        <v>791088.75</v>
      </c>
      <c r="K11" s="717">
        <v>5434.3497082192407</v>
      </c>
      <c r="L11" s="344"/>
      <c r="M11" s="368">
        <f t="shared" ref="M11:M21" si="6">IF(J11="","",K11/J11)</f>
        <v>6.8694564398991149E-3</v>
      </c>
      <c r="AF11" s="293">
        <f t="shared" ref="AF11:AF21" si="7">L11</f>
        <v>0</v>
      </c>
      <c r="AG11" s="293">
        <f t="shared" ref="AG11:AG21" si="8">K11</f>
        <v>5434.3497082192407</v>
      </c>
      <c r="AH11" s="293">
        <f t="shared" ref="AH11:AH21" si="9">J11</f>
        <v>791088.75</v>
      </c>
      <c r="AI11" s="370"/>
      <c r="AJ11" s="293">
        <f t="shared" ref="AJ11:AJ21" si="10">C11</f>
        <v>791088.75</v>
      </c>
      <c r="AK11" s="293">
        <f t="shared" ref="AK11:AK21" si="11">AJ11+AK10</f>
        <v>1415801.25</v>
      </c>
      <c r="AL11" s="293">
        <f t="shared" ref="AL11:AL21" si="12">I11+AL10</f>
        <v>1776224.9999999998</v>
      </c>
      <c r="AM11" s="369" t="str">
        <f>AL8</f>
        <v>Target (Cumulative)</v>
      </c>
      <c r="AN11" s="369">
        <v>0</v>
      </c>
      <c r="AO11" s="369">
        <f>AL10</f>
        <v>888112.49999999988</v>
      </c>
      <c r="AP11" s="369">
        <f>AO11</f>
        <v>888112.49999999988</v>
      </c>
      <c r="AQ11" s="369">
        <f>AL11</f>
        <v>1776224.9999999998</v>
      </c>
      <c r="AR11" s="369">
        <f>AQ11</f>
        <v>1776224.9999999998</v>
      </c>
      <c r="AS11" s="369">
        <f>AL12</f>
        <v>2664337.4999999995</v>
      </c>
      <c r="AT11" s="369">
        <f>AS11</f>
        <v>2664337.4999999995</v>
      </c>
      <c r="AU11" s="369">
        <f>AL13</f>
        <v>3552449.9999999995</v>
      </c>
      <c r="AV11" s="369">
        <f>AU11</f>
        <v>3552449.9999999995</v>
      </c>
      <c r="AW11" s="369">
        <f>AL14</f>
        <v>4440562.4999999991</v>
      </c>
      <c r="AX11" s="369">
        <f>AW11</f>
        <v>4440562.4999999991</v>
      </c>
      <c r="AY11" s="369">
        <f>AL15</f>
        <v>5328674.9999999991</v>
      </c>
      <c r="AZ11" s="369">
        <f>AY11</f>
        <v>5328674.9999999991</v>
      </c>
      <c r="BA11" s="369">
        <f>AL16</f>
        <v>6216787.4999999991</v>
      </c>
      <c r="BB11" s="369">
        <f>BA11</f>
        <v>6216787.4999999991</v>
      </c>
      <c r="BC11" s="369">
        <f>AL17</f>
        <v>7104899.9999999991</v>
      </c>
      <c r="BD11" s="369">
        <f>BC11</f>
        <v>7104899.9999999991</v>
      </c>
      <c r="BE11" s="369">
        <f>AL18</f>
        <v>7993012.4999999991</v>
      </c>
      <c r="BF11" s="369">
        <f>BE11</f>
        <v>7993012.4999999991</v>
      </c>
      <c r="BG11" s="369">
        <f>AL19</f>
        <v>8881124.9999999981</v>
      </c>
      <c r="BH11" s="369">
        <f>BG11</f>
        <v>8881124.9999999981</v>
      </c>
      <c r="BI11" s="369">
        <f>AL20</f>
        <v>9769237.4999999981</v>
      </c>
      <c r="BJ11" s="369">
        <f>BI11</f>
        <v>9769237.4999999981</v>
      </c>
      <c r="BK11" s="369">
        <f>AL21</f>
        <v>10657349.999999998</v>
      </c>
      <c r="BL11" s="369">
        <f>BK11</f>
        <v>10657349.999999998</v>
      </c>
    </row>
    <row r="12" spans="1:64" ht="14.25" customHeight="1" x14ac:dyDescent="0.2">
      <c r="A12" s="132" t="str">
        <f t="shared" si="0"/>
        <v>Mar2017</v>
      </c>
      <c r="B12" s="364" t="s">
        <v>2</v>
      </c>
      <c r="C12" s="286">
        <f t="shared" si="1"/>
        <v>905433.75</v>
      </c>
      <c r="D12" s="365">
        <f t="shared" si="2"/>
        <v>6973.2112456379491</v>
      </c>
      <c r="E12" s="366">
        <f t="shared" si="3"/>
        <v>0</v>
      </c>
      <c r="F12" s="365">
        <f t="shared" si="4"/>
        <v>6973.2112456379491</v>
      </c>
      <c r="G12" s="289">
        <f t="shared" si="5"/>
        <v>7.7015146007512409E-3</v>
      </c>
      <c r="H12" s="367">
        <f>C12*AI7</f>
        <v>182.84677240820736</v>
      </c>
      <c r="I12" s="704">
        <v>888112.49999999988</v>
      </c>
      <c r="J12" s="704">
        <v>905433.75</v>
      </c>
      <c r="K12" s="717">
        <v>6973.2112456379491</v>
      </c>
      <c r="L12" s="344"/>
      <c r="M12" s="368">
        <f t="shared" si="6"/>
        <v>7.7015146007512409E-3</v>
      </c>
      <c r="AF12" s="293">
        <f t="shared" si="7"/>
        <v>0</v>
      </c>
      <c r="AG12" s="293">
        <f t="shared" si="8"/>
        <v>6973.2112456379491</v>
      </c>
      <c r="AH12" s="293">
        <f t="shared" si="9"/>
        <v>905433.75</v>
      </c>
      <c r="AI12" s="370"/>
      <c r="AJ12" s="293">
        <f t="shared" si="10"/>
        <v>905433.75</v>
      </c>
      <c r="AK12" s="293">
        <f t="shared" si="11"/>
        <v>2321235</v>
      </c>
      <c r="AL12" s="293">
        <f t="shared" si="12"/>
        <v>2664337.4999999995</v>
      </c>
      <c r="AM12" s="371"/>
      <c r="AN12" s="371"/>
      <c r="AO12" s="371"/>
      <c r="AP12" s="371"/>
      <c r="AQ12" s="371"/>
      <c r="AR12" s="371"/>
      <c r="AS12" s="371"/>
      <c r="AT12" s="371"/>
      <c r="AU12" s="371"/>
      <c r="AV12" s="371"/>
      <c r="AW12" s="371"/>
      <c r="AX12" s="371"/>
      <c r="AY12" s="371"/>
      <c r="AZ12" s="371"/>
      <c r="BA12" s="371"/>
      <c r="BB12" s="371"/>
      <c r="BC12" s="371"/>
      <c r="BD12" s="371"/>
      <c r="BE12" s="371"/>
      <c r="BF12" s="371"/>
      <c r="BG12" s="371"/>
      <c r="BH12" s="371"/>
      <c r="BI12" s="371"/>
      <c r="BJ12" s="371"/>
      <c r="BK12" s="371"/>
      <c r="BL12" s="371"/>
    </row>
    <row r="13" spans="1:64" ht="14.25" customHeight="1" x14ac:dyDescent="0.2">
      <c r="A13" s="132" t="str">
        <f t="shared" si="0"/>
        <v>Apr2017</v>
      </c>
      <c r="B13" s="364" t="s">
        <v>3</v>
      </c>
      <c r="C13" s="286">
        <f t="shared" si="1"/>
        <v>918855</v>
      </c>
      <c r="D13" s="365">
        <f t="shared" si="2"/>
        <v>7106.4675032693804</v>
      </c>
      <c r="E13" s="366">
        <f t="shared" si="3"/>
        <v>0</v>
      </c>
      <c r="F13" s="365">
        <f t="shared" si="4"/>
        <v>7106.4675032693804</v>
      </c>
      <c r="G13" s="289">
        <f t="shared" si="5"/>
        <v>7.7340467247491501E-3</v>
      </c>
      <c r="H13" s="367">
        <f>C13*AI7</f>
        <v>185.55711123110152</v>
      </c>
      <c r="I13" s="704">
        <v>888112.49999999988</v>
      </c>
      <c r="J13" s="704">
        <v>918855</v>
      </c>
      <c r="K13" s="717">
        <v>7106.4675032693804</v>
      </c>
      <c r="L13" s="344"/>
      <c r="M13" s="368">
        <f t="shared" si="6"/>
        <v>7.7340467247491501E-3</v>
      </c>
      <c r="AF13" s="293">
        <f t="shared" si="7"/>
        <v>0</v>
      </c>
      <c r="AG13" s="293">
        <f t="shared" si="8"/>
        <v>7106.4675032693804</v>
      </c>
      <c r="AH13" s="293">
        <f t="shared" si="9"/>
        <v>918855</v>
      </c>
      <c r="AI13" s="370"/>
      <c r="AJ13" s="293">
        <f t="shared" si="10"/>
        <v>918855</v>
      </c>
      <c r="AK13" s="293">
        <f t="shared" si="11"/>
        <v>3240090</v>
      </c>
      <c r="AL13" s="293">
        <f t="shared" si="12"/>
        <v>3552449.9999999995</v>
      </c>
      <c r="AM13" s="371"/>
      <c r="AN13" s="371"/>
      <c r="AO13" s="371"/>
      <c r="AP13" s="371"/>
      <c r="AQ13" s="371"/>
      <c r="AR13" s="371"/>
      <c r="AS13" s="371"/>
      <c r="AT13" s="371"/>
      <c r="AU13" s="371"/>
      <c r="AV13" s="371"/>
      <c r="AW13" s="371"/>
      <c r="AX13" s="371"/>
      <c r="AY13" s="371"/>
      <c r="AZ13" s="371"/>
      <c r="BA13" s="371"/>
      <c r="BB13" s="371"/>
      <c r="BC13" s="371"/>
      <c r="BD13" s="371"/>
      <c r="BE13" s="371"/>
      <c r="BF13" s="371"/>
      <c r="BG13" s="371"/>
      <c r="BH13" s="371"/>
      <c r="BI13" s="371"/>
      <c r="BJ13" s="371"/>
      <c r="BK13" s="371"/>
      <c r="BL13" s="371"/>
    </row>
    <row r="14" spans="1:64" ht="14.25" customHeight="1" x14ac:dyDescent="0.2">
      <c r="A14" s="132" t="str">
        <f t="shared" si="0"/>
        <v>May2017</v>
      </c>
      <c r="B14" s="364" t="s">
        <v>4</v>
      </c>
      <c r="C14" s="286">
        <f t="shared" si="1"/>
        <v>1447920</v>
      </c>
      <c r="D14" s="365">
        <f t="shared" si="2"/>
        <v>11153.149532778491</v>
      </c>
      <c r="E14" s="366">
        <f t="shared" si="3"/>
        <v>0</v>
      </c>
      <c r="F14" s="365">
        <f t="shared" si="4"/>
        <v>11153.149532778491</v>
      </c>
      <c r="G14" s="289">
        <f t="shared" si="5"/>
        <v>7.7028769081016147E-3</v>
      </c>
      <c r="H14" s="367">
        <f>C14*AI7</f>
        <v>292.39853131749459</v>
      </c>
      <c r="I14" s="704">
        <v>888112.49999999988</v>
      </c>
      <c r="J14" s="704">
        <v>1447920</v>
      </c>
      <c r="K14" s="717">
        <v>11153.149532778491</v>
      </c>
      <c r="L14" s="344"/>
      <c r="M14" s="368">
        <f t="shared" si="6"/>
        <v>7.7028769081016147E-3</v>
      </c>
      <c r="AF14" s="293">
        <f t="shared" si="7"/>
        <v>0</v>
      </c>
      <c r="AG14" s="293">
        <f t="shared" si="8"/>
        <v>11153.149532778491</v>
      </c>
      <c r="AH14" s="293">
        <f t="shared" si="9"/>
        <v>1447920</v>
      </c>
      <c r="AI14" s="370"/>
      <c r="AJ14" s="293">
        <f t="shared" si="10"/>
        <v>1447920</v>
      </c>
      <c r="AK14" s="293">
        <f t="shared" si="11"/>
        <v>4688010</v>
      </c>
      <c r="AL14" s="293">
        <f t="shared" si="12"/>
        <v>4440562.4999999991</v>
      </c>
      <c r="AM14" s="371"/>
      <c r="AN14" s="371"/>
      <c r="AO14" s="371"/>
      <c r="AP14" s="371"/>
      <c r="AQ14" s="371"/>
      <c r="AR14" s="371"/>
      <c r="AS14" s="371"/>
      <c r="AT14" s="371"/>
      <c r="AU14" s="371"/>
      <c r="AV14" s="371"/>
      <c r="AW14" s="371"/>
      <c r="AX14" s="371"/>
      <c r="AY14" s="371"/>
      <c r="AZ14" s="371"/>
      <c r="BA14" s="371"/>
      <c r="BB14" s="371"/>
      <c r="BC14" s="371"/>
      <c r="BD14" s="371"/>
      <c r="BE14" s="371"/>
      <c r="BF14" s="371"/>
      <c r="BG14" s="371"/>
      <c r="BH14" s="371"/>
      <c r="BI14" s="371"/>
      <c r="BJ14" s="371"/>
      <c r="BK14" s="371"/>
      <c r="BL14" s="371"/>
    </row>
    <row r="15" spans="1:64" ht="14.25" customHeight="1" x14ac:dyDescent="0.2">
      <c r="A15" s="132" t="str">
        <f t="shared" si="0"/>
        <v>Jun2017</v>
      </c>
      <c r="B15" s="364" t="s">
        <v>5</v>
      </c>
      <c r="C15" s="286">
        <f t="shared" si="1"/>
        <v>1440956.25</v>
      </c>
      <c r="D15" s="365">
        <f t="shared" si="2"/>
        <v>10819.13720463883</v>
      </c>
      <c r="E15" s="366">
        <f t="shared" si="3"/>
        <v>0</v>
      </c>
      <c r="F15" s="365">
        <f t="shared" si="4"/>
        <v>10819.13720463883</v>
      </c>
      <c r="G15" s="289">
        <f t="shared" si="5"/>
        <v>7.5083037424896349E-3</v>
      </c>
      <c r="H15" s="367">
        <f>C15*AI7</f>
        <v>290.99224487041039</v>
      </c>
      <c r="I15" s="704">
        <v>888112.49999999988</v>
      </c>
      <c r="J15" s="704">
        <v>1440956.25</v>
      </c>
      <c r="K15" s="717">
        <v>10819.13720463883</v>
      </c>
      <c r="L15" s="344"/>
      <c r="M15" s="368">
        <f t="shared" si="6"/>
        <v>7.5083037424896349E-3</v>
      </c>
      <c r="AF15" s="293">
        <f t="shared" si="7"/>
        <v>0</v>
      </c>
      <c r="AG15" s="293">
        <f t="shared" si="8"/>
        <v>10819.13720463883</v>
      </c>
      <c r="AH15" s="293">
        <f t="shared" si="9"/>
        <v>1440956.25</v>
      </c>
      <c r="AI15" s="370"/>
      <c r="AJ15" s="293">
        <f t="shared" si="10"/>
        <v>1440956.25</v>
      </c>
      <c r="AK15" s="293">
        <f t="shared" si="11"/>
        <v>6128966.25</v>
      </c>
      <c r="AL15" s="293">
        <f t="shared" si="12"/>
        <v>5328674.9999999991</v>
      </c>
      <c r="AM15" s="371"/>
      <c r="AN15" s="371"/>
      <c r="AO15" s="371"/>
      <c r="AP15" s="371"/>
      <c r="AQ15" s="371"/>
      <c r="AR15" s="371"/>
      <c r="AS15" s="371"/>
      <c r="AT15" s="371"/>
      <c r="AU15" s="371"/>
      <c r="AV15" s="371"/>
      <c r="AW15" s="371"/>
      <c r="AX15" s="371"/>
      <c r="AY15" s="371"/>
      <c r="AZ15" s="371"/>
      <c r="BA15" s="371"/>
      <c r="BB15" s="371"/>
      <c r="BC15" s="371"/>
      <c r="BD15" s="371"/>
      <c r="BE15" s="371"/>
      <c r="BF15" s="371"/>
      <c r="BG15" s="371"/>
      <c r="BH15" s="371"/>
      <c r="BI15" s="371"/>
      <c r="BJ15" s="371"/>
      <c r="BK15" s="371"/>
      <c r="BL15" s="371"/>
    </row>
    <row r="16" spans="1:64" ht="14.25" customHeight="1" x14ac:dyDescent="0.2">
      <c r="A16" s="132" t="str">
        <f t="shared" si="0"/>
        <v>Jul2017</v>
      </c>
      <c r="B16" s="364" t="s">
        <v>6</v>
      </c>
      <c r="C16" s="286">
        <f t="shared" si="1"/>
        <v>845336.25</v>
      </c>
      <c r="D16" s="365">
        <f t="shared" si="2"/>
        <v>6301.3670415238967</v>
      </c>
      <c r="E16" s="366">
        <f t="shared" si="3"/>
        <v>0</v>
      </c>
      <c r="F16" s="365">
        <f t="shared" si="4"/>
        <v>6301.3670415238967</v>
      </c>
      <c r="G16" s="289">
        <f t="shared" si="5"/>
        <v>7.4542728311058426E-3</v>
      </c>
      <c r="H16" s="367">
        <f>C16*AI7</f>
        <v>170.71045221382289</v>
      </c>
      <c r="I16" s="704">
        <v>888112.49999999988</v>
      </c>
      <c r="J16" s="704">
        <v>845336.25</v>
      </c>
      <c r="K16" s="717">
        <v>6301.3670415238967</v>
      </c>
      <c r="L16" s="344"/>
      <c r="M16" s="368">
        <f t="shared" si="6"/>
        <v>7.4542728311058426E-3</v>
      </c>
      <c r="AF16" s="293">
        <f t="shared" si="7"/>
        <v>0</v>
      </c>
      <c r="AG16" s="293">
        <f t="shared" si="8"/>
        <v>6301.3670415238967</v>
      </c>
      <c r="AH16" s="293">
        <f t="shared" si="9"/>
        <v>845336.25</v>
      </c>
      <c r="AI16" s="370"/>
      <c r="AJ16" s="293">
        <f t="shared" si="10"/>
        <v>845336.25</v>
      </c>
      <c r="AK16" s="293">
        <f t="shared" si="11"/>
        <v>6974302.5</v>
      </c>
      <c r="AL16" s="293">
        <f t="shared" si="12"/>
        <v>6216787.4999999991</v>
      </c>
      <c r="AM16" s="371"/>
      <c r="AN16" s="371"/>
      <c r="AO16" s="371"/>
      <c r="AP16" s="371"/>
      <c r="AQ16" s="371"/>
      <c r="AR16" s="371"/>
      <c r="AS16" s="371"/>
      <c r="AT16" s="371"/>
      <c r="AU16" s="371"/>
      <c r="AV16" s="371"/>
      <c r="AW16" s="371"/>
      <c r="AX16" s="371"/>
      <c r="AY16" s="371"/>
      <c r="AZ16" s="371"/>
      <c r="BA16" s="371"/>
      <c r="BB16" s="371"/>
      <c r="BC16" s="371"/>
      <c r="BD16" s="371"/>
      <c r="BE16" s="371"/>
      <c r="BF16" s="371"/>
      <c r="BG16" s="371"/>
      <c r="BH16" s="371"/>
      <c r="BI16" s="371"/>
      <c r="BJ16" s="371"/>
      <c r="BK16" s="371"/>
      <c r="BL16" s="371"/>
    </row>
    <row r="17" spans="1:64" ht="14.25" customHeight="1" x14ac:dyDescent="0.2">
      <c r="A17" s="132" t="str">
        <f t="shared" si="0"/>
        <v>Aug2017</v>
      </c>
      <c r="B17" s="364" t="s">
        <v>7</v>
      </c>
      <c r="C17" s="286">
        <f t="shared" si="1"/>
        <v>847586.25</v>
      </c>
      <c r="D17" s="365">
        <f t="shared" si="2"/>
        <v>6326.0818906727272</v>
      </c>
      <c r="E17" s="366">
        <f t="shared" si="3"/>
        <v>0</v>
      </c>
      <c r="F17" s="365">
        <f t="shared" si="4"/>
        <v>6326.0818906727272</v>
      </c>
      <c r="G17" s="289">
        <f t="shared" si="5"/>
        <v>7.4636438364505406E-3</v>
      </c>
      <c r="H17" s="367">
        <f>C17*AI7</f>
        <v>171.16482586393087</v>
      </c>
      <c r="I17" s="704">
        <v>888112.49999999988</v>
      </c>
      <c r="J17" s="704">
        <v>847586.25</v>
      </c>
      <c r="K17" s="717">
        <v>6326.0818906727272</v>
      </c>
      <c r="L17" s="344"/>
      <c r="M17" s="368">
        <f t="shared" si="6"/>
        <v>7.4636438364505406E-3</v>
      </c>
      <c r="AF17" s="293">
        <f t="shared" si="7"/>
        <v>0</v>
      </c>
      <c r="AG17" s="293">
        <f t="shared" si="8"/>
        <v>6326.0818906727272</v>
      </c>
      <c r="AH17" s="293">
        <f t="shared" si="9"/>
        <v>847586.25</v>
      </c>
      <c r="AI17" s="370"/>
      <c r="AJ17" s="293">
        <f t="shared" si="10"/>
        <v>847586.25</v>
      </c>
      <c r="AK17" s="293">
        <f t="shared" si="11"/>
        <v>7821888.75</v>
      </c>
      <c r="AL17" s="293">
        <f t="shared" si="12"/>
        <v>7104899.9999999991</v>
      </c>
      <c r="AM17" s="371"/>
      <c r="AN17" s="371"/>
      <c r="AO17" s="371"/>
      <c r="AP17" s="371"/>
      <c r="AQ17" s="371"/>
      <c r="AR17" s="371"/>
      <c r="AS17" s="371"/>
      <c r="AT17" s="371"/>
      <c r="AU17" s="371"/>
      <c r="AV17" s="371"/>
      <c r="AW17" s="371"/>
      <c r="AX17" s="371"/>
      <c r="AY17" s="371"/>
      <c r="AZ17" s="371"/>
      <c r="BA17" s="371"/>
      <c r="BB17" s="371"/>
      <c r="BC17" s="371"/>
      <c r="BD17" s="371"/>
      <c r="BE17" s="371"/>
      <c r="BF17" s="371"/>
      <c r="BG17" s="371"/>
      <c r="BH17" s="371"/>
      <c r="BI17" s="371"/>
      <c r="BJ17" s="371"/>
      <c r="BK17" s="371"/>
      <c r="BL17" s="371"/>
    </row>
    <row r="18" spans="1:64" ht="14.25" customHeight="1" x14ac:dyDescent="0.2">
      <c r="A18" s="132" t="str">
        <f t="shared" si="0"/>
        <v>Sep2017</v>
      </c>
      <c r="B18" s="364" t="s">
        <v>8</v>
      </c>
      <c r="C18" s="286">
        <f t="shared" si="1"/>
        <v>832162.5</v>
      </c>
      <c r="D18" s="365">
        <f t="shared" si="2"/>
        <v>6191.4039273107037</v>
      </c>
      <c r="E18" s="366">
        <f t="shared" si="3"/>
        <v>0</v>
      </c>
      <c r="F18" s="365">
        <f t="shared" si="4"/>
        <v>6191.4039273107037</v>
      </c>
      <c r="G18" s="289">
        <f t="shared" si="5"/>
        <v>7.4401381068129168E-3</v>
      </c>
      <c r="H18" s="367">
        <f>C18*AI7</f>
        <v>168.05009449244059</v>
      </c>
      <c r="I18" s="704">
        <v>888112.49999999988</v>
      </c>
      <c r="J18" s="704">
        <v>832162.5</v>
      </c>
      <c r="K18" s="717">
        <v>6191.4039273107037</v>
      </c>
      <c r="L18" s="344"/>
      <c r="M18" s="368">
        <f t="shared" si="6"/>
        <v>7.4401381068129168E-3</v>
      </c>
      <c r="AF18" s="293">
        <f t="shared" si="7"/>
        <v>0</v>
      </c>
      <c r="AG18" s="293">
        <f t="shared" si="8"/>
        <v>6191.4039273107037</v>
      </c>
      <c r="AH18" s="293">
        <f t="shared" si="9"/>
        <v>832162.5</v>
      </c>
      <c r="AI18" s="370"/>
      <c r="AJ18" s="293">
        <f t="shared" si="10"/>
        <v>832162.5</v>
      </c>
      <c r="AK18" s="293">
        <f t="shared" si="11"/>
        <v>8654051.25</v>
      </c>
      <c r="AL18" s="293">
        <f t="shared" si="12"/>
        <v>7993012.4999999991</v>
      </c>
      <c r="AM18" s="371"/>
      <c r="AN18" s="371"/>
      <c r="AO18" s="371"/>
      <c r="AP18" s="371"/>
      <c r="AQ18" s="371"/>
      <c r="AR18" s="371"/>
      <c r="AS18" s="371"/>
      <c r="AT18" s="371"/>
      <c r="AU18" s="371"/>
      <c r="AV18" s="371"/>
      <c r="AW18" s="371"/>
      <c r="AX18" s="371"/>
      <c r="AY18" s="371"/>
      <c r="AZ18" s="371"/>
      <c r="BA18" s="371"/>
      <c r="BB18" s="371"/>
      <c r="BC18" s="371"/>
      <c r="BD18" s="371"/>
      <c r="BE18" s="371"/>
      <c r="BF18" s="371"/>
      <c r="BG18" s="371"/>
      <c r="BH18" s="371"/>
      <c r="BI18" s="371"/>
      <c r="BJ18" s="371"/>
      <c r="BK18" s="371"/>
      <c r="BL18" s="371"/>
    </row>
    <row r="19" spans="1:64" ht="14.25" customHeight="1" x14ac:dyDescent="0.2">
      <c r="A19" s="132" t="str">
        <f t="shared" si="0"/>
        <v>Oct2017</v>
      </c>
      <c r="B19" s="364" t="s">
        <v>9</v>
      </c>
      <c r="C19" s="286">
        <f t="shared" si="1"/>
        <v>942648.75</v>
      </c>
      <c r="D19" s="365">
        <f t="shared" si="2"/>
        <v>7043.4777391147281</v>
      </c>
      <c r="E19" s="366">
        <f t="shared" si="3"/>
        <v>0</v>
      </c>
      <c r="F19" s="365">
        <f t="shared" si="4"/>
        <v>7043.4777391147281</v>
      </c>
      <c r="G19" s="289">
        <f t="shared" si="5"/>
        <v>7.4720066611393991E-3</v>
      </c>
      <c r="H19" s="367">
        <f>C19*AI7</f>
        <v>190.36211258099351</v>
      </c>
      <c r="I19" s="704">
        <v>888112.49999999988</v>
      </c>
      <c r="J19" s="704">
        <v>942648.75</v>
      </c>
      <c r="K19" s="717">
        <v>7043.4777391147281</v>
      </c>
      <c r="L19" s="344"/>
      <c r="M19" s="368">
        <f t="shared" si="6"/>
        <v>7.4720066611393991E-3</v>
      </c>
      <c r="AF19" s="293">
        <f t="shared" si="7"/>
        <v>0</v>
      </c>
      <c r="AG19" s="293">
        <f t="shared" si="8"/>
        <v>7043.4777391147281</v>
      </c>
      <c r="AH19" s="293">
        <f t="shared" si="9"/>
        <v>942648.75</v>
      </c>
      <c r="AI19" s="370"/>
      <c r="AJ19" s="293">
        <f t="shared" si="10"/>
        <v>942648.75</v>
      </c>
      <c r="AK19" s="293">
        <f t="shared" si="11"/>
        <v>9596700</v>
      </c>
      <c r="AL19" s="293">
        <f t="shared" si="12"/>
        <v>8881124.9999999981</v>
      </c>
      <c r="AM19" s="371"/>
      <c r="AN19" s="371"/>
      <c r="AO19" s="371"/>
      <c r="AP19" s="371"/>
      <c r="AQ19" s="371"/>
      <c r="AR19" s="371"/>
      <c r="AS19" s="371"/>
      <c r="AT19" s="371"/>
      <c r="AU19" s="371"/>
      <c r="AV19" s="371"/>
      <c r="AW19" s="371"/>
      <c r="AX19" s="371"/>
      <c r="AY19" s="371"/>
      <c r="AZ19" s="371"/>
      <c r="BA19" s="371"/>
      <c r="BB19" s="371"/>
      <c r="BC19" s="371"/>
      <c r="BD19" s="371"/>
      <c r="BE19" s="371"/>
      <c r="BF19" s="371"/>
      <c r="BG19" s="371"/>
      <c r="BH19" s="371"/>
      <c r="BI19" s="371"/>
      <c r="BJ19" s="371"/>
      <c r="BK19" s="371"/>
      <c r="BL19" s="371"/>
    </row>
    <row r="20" spans="1:64" ht="14.25" customHeight="1" x14ac:dyDescent="0.2">
      <c r="A20" s="132" t="str">
        <f t="shared" si="0"/>
        <v>Nov2017</v>
      </c>
      <c r="B20" s="364" t="s">
        <v>10</v>
      </c>
      <c r="C20" s="286">
        <f t="shared" si="1"/>
        <v>1057635</v>
      </c>
      <c r="D20" s="365">
        <f t="shared" si="2"/>
        <v>15375.928250689585</v>
      </c>
      <c r="E20" s="366">
        <f t="shared" si="3"/>
        <v>0</v>
      </c>
      <c r="F20" s="365">
        <f t="shared" si="4"/>
        <v>15375.928250689585</v>
      </c>
      <c r="G20" s="289">
        <f t="shared" si="5"/>
        <v>1.4538028952038828E-2</v>
      </c>
      <c r="H20" s="367">
        <f>C20*AI7</f>
        <v>213.58287796976242</v>
      </c>
      <c r="I20" s="704">
        <v>888112.49999999988</v>
      </c>
      <c r="J20" s="704">
        <v>1057635</v>
      </c>
      <c r="K20" s="717">
        <v>15375.928250689585</v>
      </c>
      <c r="L20" s="344"/>
      <c r="M20" s="368">
        <f t="shared" si="6"/>
        <v>1.4538028952038828E-2</v>
      </c>
      <c r="AF20" s="293">
        <f t="shared" si="7"/>
        <v>0</v>
      </c>
      <c r="AG20" s="293">
        <f t="shared" si="8"/>
        <v>15375.928250689585</v>
      </c>
      <c r="AH20" s="293">
        <f t="shared" si="9"/>
        <v>1057635</v>
      </c>
      <c r="AI20" s="370"/>
      <c r="AJ20" s="293">
        <f t="shared" si="10"/>
        <v>1057635</v>
      </c>
      <c r="AK20" s="293">
        <f t="shared" si="11"/>
        <v>10654335</v>
      </c>
      <c r="AL20" s="293">
        <f t="shared" si="12"/>
        <v>9769237.4999999981</v>
      </c>
      <c r="AM20" s="371"/>
      <c r="AN20" s="371"/>
      <c r="AO20" s="371"/>
      <c r="AP20" s="371"/>
      <c r="AQ20" s="371"/>
      <c r="AR20" s="371"/>
      <c r="AS20" s="371"/>
      <c r="AT20" s="371"/>
      <c r="AU20" s="371"/>
      <c r="AV20" s="371"/>
      <c r="AW20" s="371"/>
      <c r="AX20" s="371"/>
      <c r="AY20" s="371"/>
      <c r="AZ20" s="371"/>
      <c r="BA20" s="371"/>
      <c r="BB20" s="371"/>
      <c r="BC20" s="371"/>
      <c r="BD20" s="371"/>
      <c r="BE20" s="371"/>
      <c r="BF20" s="371"/>
      <c r="BG20" s="371"/>
      <c r="BH20" s="371"/>
      <c r="BI20" s="371"/>
      <c r="BJ20" s="371"/>
      <c r="BK20" s="371"/>
      <c r="BL20" s="371"/>
    </row>
    <row r="21" spans="1:64" ht="14.25" customHeight="1" x14ac:dyDescent="0.2">
      <c r="A21" s="132" t="str">
        <f t="shared" si="0"/>
        <v>Dec2017</v>
      </c>
      <c r="B21" s="372" t="s">
        <v>11</v>
      </c>
      <c r="C21" s="296">
        <f t="shared" si="1"/>
        <v>1068750</v>
      </c>
      <c r="D21" s="373">
        <f t="shared" si="2"/>
        <v>16741.332140790237</v>
      </c>
      <c r="E21" s="374">
        <f t="shared" si="3"/>
        <v>0</v>
      </c>
      <c r="F21" s="373">
        <f t="shared" si="4"/>
        <v>16741.332140790237</v>
      </c>
      <c r="G21" s="299">
        <f t="shared" si="5"/>
        <v>1.566440434225987E-2</v>
      </c>
      <c r="H21" s="375">
        <f>C21*AI7</f>
        <v>215.8274838012959</v>
      </c>
      <c r="I21" s="704">
        <v>888112.49999999988</v>
      </c>
      <c r="J21" s="705">
        <v>1068750</v>
      </c>
      <c r="K21" s="717">
        <v>16741.332140790237</v>
      </c>
      <c r="L21" s="345"/>
      <c r="M21" s="376">
        <f t="shared" si="6"/>
        <v>1.566440434225987E-2</v>
      </c>
      <c r="AF21" s="293">
        <f t="shared" si="7"/>
        <v>0</v>
      </c>
      <c r="AG21" s="293">
        <f t="shared" si="8"/>
        <v>16741.332140790237</v>
      </c>
      <c r="AH21" s="293">
        <f t="shared" si="9"/>
        <v>1068750</v>
      </c>
      <c r="AI21" s="370"/>
      <c r="AJ21" s="293">
        <f t="shared" si="10"/>
        <v>1068750</v>
      </c>
      <c r="AK21" s="293">
        <f t="shared" si="11"/>
        <v>11723085</v>
      </c>
      <c r="AL21" s="293">
        <f t="shared" si="12"/>
        <v>10657349.999999998</v>
      </c>
      <c r="AM21" s="371"/>
      <c r="AN21" s="371"/>
      <c r="AO21" s="371"/>
      <c r="AP21" s="371"/>
      <c r="AQ21" s="371"/>
      <c r="AR21" s="371"/>
      <c r="AS21" s="371"/>
      <c r="AT21" s="371"/>
      <c r="AU21" s="371"/>
      <c r="AV21" s="371"/>
      <c r="AW21" s="371"/>
      <c r="AX21" s="371"/>
      <c r="AY21" s="371"/>
      <c r="AZ21" s="371"/>
      <c r="BA21" s="371"/>
      <c r="BB21" s="371"/>
      <c r="BC21" s="371"/>
      <c r="BD21" s="371"/>
      <c r="BE21" s="371"/>
      <c r="BF21" s="371"/>
      <c r="BG21" s="371"/>
      <c r="BH21" s="371"/>
      <c r="BI21" s="371"/>
      <c r="BJ21" s="371"/>
      <c r="BK21" s="371"/>
      <c r="BL21" s="371"/>
    </row>
    <row r="22" spans="1:64" s="210" customFormat="1" ht="14.25" customHeight="1" x14ac:dyDescent="0.2">
      <c r="A22" s="132" t="str">
        <f>B22&amp;A2</f>
        <v>Total</v>
      </c>
      <c r="B22" s="377" t="s">
        <v>23</v>
      </c>
      <c r="C22" s="378">
        <f>SUM(C10:C21)</f>
        <v>11723085</v>
      </c>
      <c r="D22" s="379">
        <f>SUM(D10:D21)</f>
        <v>103717.60820512944</v>
      </c>
      <c r="E22" s="380">
        <f>SUM(E10:E21)</f>
        <v>20</v>
      </c>
      <c r="F22" s="379">
        <f>SUM(F10:F21)</f>
        <v>103737.60820512944</v>
      </c>
      <c r="G22" s="381">
        <f t="shared" si="5"/>
        <v>8.8490024771746886E-3</v>
      </c>
      <c r="H22" s="382">
        <f>SUM(H10:H21)</f>
        <v>2367.404854211663</v>
      </c>
      <c r="I22" s="383">
        <f>SUM(I10:I21)</f>
        <v>10657349.999999998</v>
      </c>
      <c r="J22" s="384">
        <f>SUM(J10:J21)</f>
        <v>11723085</v>
      </c>
      <c r="K22" s="383">
        <f>SUM(K10:K21)</f>
        <v>103717.60820512944</v>
      </c>
      <c r="L22" s="385">
        <f>SUM(L10:L21)</f>
        <v>20</v>
      </c>
      <c r="M22" s="386" t="s">
        <v>33</v>
      </c>
      <c r="N22" s="218"/>
      <c r="Y22" s="218"/>
      <c r="Z22" s="218"/>
      <c r="AA22" s="218"/>
      <c r="AB22" s="218"/>
      <c r="AC22" s="218"/>
      <c r="AD22" s="218"/>
      <c r="AE22" s="218"/>
      <c r="AF22" s="311"/>
      <c r="AG22" s="311"/>
      <c r="AH22" s="311"/>
      <c r="AI22" s="218"/>
      <c r="AJ22" s="218"/>
      <c r="AK22" s="218"/>
      <c r="AL22" s="218"/>
      <c r="AM22" s="218"/>
    </row>
    <row r="23" spans="1:64" s="210" customFormat="1" ht="15" customHeight="1" x14ac:dyDescent="0.2">
      <c r="A23" s="132"/>
      <c r="B23" s="56"/>
      <c r="C23" s="57"/>
      <c r="D23" s="57"/>
      <c r="E23" s="57"/>
      <c r="F23" s="58"/>
      <c r="G23" s="310"/>
      <c r="H23" s="310"/>
      <c r="I23" s="310"/>
      <c r="J23" s="310"/>
      <c r="K23" s="310"/>
      <c r="L23" s="310"/>
      <c r="M23" s="310"/>
      <c r="N23" s="310"/>
      <c r="Y23" s="310"/>
      <c r="Z23" s="310"/>
      <c r="AA23" s="310"/>
      <c r="AB23" s="310"/>
      <c r="AC23" s="310"/>
      <c r="AD23" s="310"/>
      <c r="AE23" s="310"/>
      <c r="AF23" s="310"/>
      <c r="AG23" s="310"/>
      <c r="AH23" s="310"/>
      <c r="AI23" s="310"/>
      <c r="AJ23" s="218"/>
      <c r="AK23" s="311"/>
      <c r="AL23" s="311"/>
      <c r="AM23" s="218"/>
      <c r="AN23" s="218"/>
      <c r="AO23" s="218"/>
      <c r="AP23" s="218"/>
      <c r="AQ23" s="218"/>
      <c r="AR23" s="311"/>
      <c r="AS23" s="311"/>
      <c r="AT23" s="311"/>
      <c r="AU23" s="312"/>
      <c r="AV23" s="313"/>
      <c r="AW23" s="313"/>
      <c r="AX23" s="218"/>
      <c r="AY23" s="218"/>
    </row>
    <row r="24" spans="1:64" s="210" customFormat="1" ht="15.75" customHeight="1" x14ac:dyDescent="0.2">
      <c r="A24" s="132"/>
      <c r="B24" s="738" t="s">
        <v>170</v>
      </c>
      <c r="C24" s="739"/>
      <c r="D24" s="739"/>
      <c r="E24" s="739"/>
      <c r="F24" s="74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218"/>
      <c r="AK24" s="311"/>
      <c r="AL24" s="311"/>
      <c r="AM24" s="218"/>
      <c r="AN24" s="218"/>
      <c r="AO24" s="218"/>
      <c r="AP24" s="218"/>
      <c r="AQ24" s="218"/>
      <c r="AR24" s="311"/>
      <c r="AS24" s="311"/>
      <c r="AT24" s="311"/>
      <c r="AU24" s="312"/>
      <c r="AV24" s="313"/>
      <c r="AW24" s="313"/>
      <c r="AX24" s="218"/>
      <c r="AY24" s="218"/>
    </row>
    <row r="25" spans="1:64" ht="15" customHeight="1" x14ac:dyDescent="0.2">
      <c r="A25" s="222"/>
      <c r="B25" s="59"/>
      <c r="C25" s="60"/>
      <c r="D25" s="60"/>
      <c r="E25" s="60"/>
      <c r="F25" s="61"/>
      <c r="N25" s="154"/>
      <c r="O25" s="154"/>
      <c r="P25" s="154"/>
      <c r="Q25" s="154"/>
      <c r="R25" s="154"/>
      <c r="S25" s="154"/>
      <c r="T25" s="154"/>
      <c r="U25" s="154"/>
      <c r="V25" s="154"/>
      <c r="W25" s="154"/>
      <c r="X25" s="154"/>
      <c r="Y25" s="154"/>
      <c r="Z25" s="154"/>
      <c r="AA25" s="154"/>
      <c r="AB25" s="154"/>
      <c r="AC25" s="154"/>
      <c r="AD25" s="154"/>
      <c r="AE25" s="154"/>
      <c r="AF25" s="154"/>
      <c r="AG25" s="154"/>
      <c r="AH25" s="154"/>
      <c r="AI25" s="154"/>
      <c r="AK25" s="161"/>
      <c r="AL25" s="161"/>
      <c r="AN25" s="160"/>
      <c r="AO25" s="160"/>
      <c r="AP25" s="160"/>
      <c r="AQ25" s="160"/>
      <c r="AR25" s="161"/>
      <c r="AS25" s="161"/>
      <c r="AT25" s="161"/>
      <c r="AU25" s="387"/>
      <c r="AV25" s="388"/>
      <c r="AW25" s="387"/>
      <c r="AX25" s="160"/>
      <c r="AY25" s="160"/>
    </row>
    <row r="26" spans="1:64" x14ac:dyDescent="0.2">
      <c r="B26" s="741" t="s">
        <v>171</v>
      </c>
      <c r="C26" s="742"/>
      <c r="D26" s="742"/>
      <c r="E26" s="742"/>
      <c r="F26" s="743"/>
    </row>
    <row r="27" spans="1:64" x14ac:dyDescent="0.2">
      <c r="B27" s="62"/>
      <c r="C27" s="63"/>
      <c r="D27" s="63"/>
      <c r="E27" s="63"/>
      <c r="F27" s="64"/>
    </row>
  </sheetData>
  <sheetProtection sheet="1"/>
  <mergeCells count="4">
    <mergeCell ref="B26:F26"/>
    <mergeCell ref="B7:I7"/>
    <mergeCell ref="J7:L7"/>
    <mergeCell ref="B24:F24"/>
  </mergeCells>
  <phoneticPr fontId="1" type="noConversion"/>
  <hyperlinks>
    <hyperlink ref="B24" location="Start!R1C1" display="Click here to jump back to start page" xr:uid="{00000000-0004-0000-0300-000000000000}"/>
    <hyperlink ref="B26:F26" location="'(Natural Gas)'!R1C1" display="Click here to jump to diagrams" xr:uid="{00000000-0004-0000-0300-000001000000}"/>
  </hyperlinks>
  <pageMargins left="0.15748031496062992" right="0.15748031496062992"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3"/>
  <dimension ref="A1:BH27"/>
  <sheetViews>
    <sheetView showGridLines="0" zoomScaleNormal="100" workbookViewId="0">
      <selection activeCell="I10" sqref="I10"/>
    </sheetView>
  </sheetViews>
  <sheetFormatPr defaultColWidth="9.140625" defaultRowHeight="12.75" x14ac:dyDescent="0.2"/>
  <cols>
    <col min="1" max="1" width="3" style="314" customWidth="1"/>
    <col min="2" max="2" width="9.28515625" style="155" customWidth="1"/>
    <col min="3" max="4" width="8.42578125" style="155" customWidth="1"/>
    <col min="5" max="5" width="9.5703125" style="155" customWidth="1"/>
    <col min="6" max="7" width="8.42578125" style="155" customWidth="1"/>
    <col min="8" max="8" width="9.28515625" style="155" customWidth="1"/>
    <col min="9" max="17" width="8.85546875" style="154" customWidth="1"/>
    <col min="18" max="23" width="9.85546875" style="154" customWidth="1"/>
    <col min="24" max="24" width="2.7109375" style="160" customWidth="1"/>
    <col min="25" max="25" width="25.7109375" style="160" customWidth="1"/>
    <col min="26" max="32" width="8.42578125" style="160" customWidth="1"/>
    <col min="33" max="35" width="9.85546875" style="160" customWidth="1"/>
    <col min="36" max="37" width="16.5703125" style="160" customWidth="1"/>
    <col min="38" max="40" width="9.85546875" style="160" customWidth="1"/>
    <col min="41" max="43" width="9.140625" style="161"/>
    <col min="44" max="48" width="9.140625" style="160"/>
    <col min="49" max="51" width="9.140625" style="154"/>
    <col min="52" max="60" width="9.140625" style="316"/>
    <col min="61" max="16384" width="9.140625" style="154"/>
  </cols>
  <sheetData>
    <row r="1" spans="1:60" ht="15" customHeight="1" x14ac:dyDescent="0.2">
      <c r="A1" s="222"/>
      <c r="B1" s="154"/>
      <c r="C1" s="154"/>
      <c r="D1" s="166"/>
      <c r="E1" s="73"/>
      <c r="F1" s="223"/>
      <c r="G1" s="154"/>
      <c r="H1" s="154"/>
      <c r="J1" s="224"/>
      <c r="S1" s="160"/>
      <c r="T1" s="160"/>
      <c r="U1" s="160"/>
      <c r="V1" s="160"/>
      <c r="W1" s="161"/>
      <c r="X1" s="161"/>
      <c r="Y1" s="161"/>
      <c r="Z1" s="161"/>
      <c r="AA1" s="161"/>
      <c r="AB1" s="161"/>
      <c r="AC1" s="161"/>
      <c r="AD1" s="161"/>
      <c r="AE1" s="161"/>
      <c r="AF1" s="161"/>
      <c r="AG1" s="161"/>
      <c r="AH1" s="161"/>
      <c r="AI1" s="161"/>
      <c r="AJ1" s="161"/>
      <c r="AK1" s="161"/>
      <c r="AL1" s="161"/>
      <c r="AM1" s="161"/>
      <c r="AN1" s="161"/>
      <c r="AR1" s="162"/>
      <c r="AS1" s="162"/>
      <c r="AT1" s="162"/>
      <c r="AU1" s="162"/>
      <c r="AV1" s="162"/>
      <c r="AW1" s="162"/>
      <c r="AX1" s="162"/>
      <c r="AY1" s="162"/>
      <c r="AZ1" s="315"/>
      <c r="BA1" s="315"/>
    </row>
    <row r="2" spans="1:60" s="71" customFormat="1" ht="15" customHeight="1" x14ac:dyDescent="0.2">
      <c r="A2" s="132"/>
      <c r="B2" s="225"/>
      <c r="C2" s="226" t="s">
        <v>36</v>
      </c>
      <c r="D2" s="317">
        <f>KPI!C3</f>
        <v>2017</v>
      </c>
      <c r="E2" s="228"/>
      <c r="F2" s="228"/>
      <c r="G2" s="229" t="s">
        <v>86</v>
      </c>
      <c r="H2" s="230" t="str">
        <f>Start!H21</f>
        <v>Holding company</v>
      </c>
      <c r="I2" s="318"/>
      <c r="J2" s="232"/>
      <c r="K2" s="237"/>
      <c r="L2" s="237"/>
      <c r="M2" s="237"/>
      <c r="N2" s="237"/>
      <c r="O2" s="237"/>
      <c r="P2" s="237"/>
      <c r="Q2" s="237"/>
      <c r="R2" s="237"/>
      <c r="S2" s="237"/>
      <c r="T2" s="237"/>
      <c r="U2" s="237"/>
      <c r="V2" s="237"/>
      <c r="W2" s="237"/>
      <c r="AS2" s="72"/>
      <c r="AT2" s="77"/>
      <c r="AU2" s="77"/>
      <c r="AV2" s="72"/>
      <c r="AW2" s="72"/>
      <c r="AX2" s="72"/>
      <c r="AY2" s="72"/>
      <c r="AZ2" s="86"/>
      <c r="BA2" s="83"/>
      <c r="BB2" s="83"/>
      <c r="BC2" s="83"/>
      <c r="BD2" s="86"/>
      <c r="BE2" s="319"/>
      <c r="BF2" s="86"/>
      <c r="BG2" s="86"/>
      <c r="BH2" s="86"/>
    </row>
    <row r="3" spans="1:60" s="71" customFormat="1" ht="15" customHeight="1" x14ac:dyDescent="0.2">
      <c r="A3" s="132"/>
      <c r="B3" s="238"/>
      <c r="C3" s="320"/>
      <c r="D3" s="240"/>
      <c r="E3" s="240"/>
      <c r="F3" s="240"/>
      <c r="G3" s="241"/>
      <c r="H3" s="242"/>
      <c r="I3" s="321"/>
      <c r="J3" s="244"/>
      <c r="K3" s="237"/>
      <c r="L3" s="237"/>
      <c r="M3" s="237"/>
      <c r="N3" s="237"/>
      <c r="O3" s="237"/>
      <c r="P3" s="237"/>
      <c r="Q3" s="237"/>
      <c r="R3" s="237"/>
      <c r="S3" s="237"/>
      <c r="T3" s="237"/>
      <c r="U3" s="237"/>
      <c r="V3" s="237"/>
      <c r="W3" s="237"/>
      <c r="AS3" s="72"/>
      <c r="AT3" s="77"/>
      <c r="AU3" s="77"/>
      <c r="AV3" s="72"/>
      <c r="AW3" s="72"/>
      <c r="AX3" s="72"/>
      <c r="AY3" s="72"/>
      <c r="AZ3" s="86"/>
      <c r="BA3" s="83"/>
      <c r="BB3" s="83"/>
      <c r="BC3" s="83"/>
      <c r="BD3" s="86"/>
      <c r="BE3" s="319"/>
      <c r="BF3" s="86"/>
      <c r="BG3" s="86"/>
      <c r="BH3" s="86"/>
    </row>
    <row r="4" spans="1:60" s="71" customFormat="1" ht="15" customHeight="1" x14ac:dyDescent="0.2">
      <c r="A4" s="132"/>
      <c r="B4" s="238"/>
      <c r="C4" s="248" t="s">
        <v>34</v>
      </c>
      <c r="D4" s="249" t="str">
        <f>F22</f>
        <v/>
      </c>
      <c r="E4" s="250" t="str">
        <f>Start!$O$7&amp;"/litre"</f>
        <v>$/litre</v>
      </c>
      <c r="F4" s="240"/>
      <c r="G4" s="241"/>
      <c r="H4" s="242"/>
      <c r="I4" s="321"/>
      <c r="J4" s="244"/>
      <c r="K4" s="237"/>
      <c r="L4" s="237"/>
      <c r="M4" s="237"/>
      <c r="N4" s="237"/>
      <c r="O4" s="237"/>
      <c r="P4" s="237"/>
      <c r="Q4" s="237"/>
      <c r="R4" s="237"/>
      <c r="S4" s="237"/>
      <c r="T4" s="237"/>
      <c r="U4" s="237"/>
      <c r="V4" s="237"/>
      <c r="W4" s="237"/>
      <c r="AS4" s="72"/>
      <c r="AT4" s="77"/>
      <c r="AU4" s="77"/>
      <c r="AV4" s="72"/>
      <c r="AW4" s="72"/>
      <c r="AX4" s="72"/>
      <c r="AY4" s="72"/>
      <c r="AZ4" s="86"/>
      <c r="BA4" s="83"/>
      <c r="BB4" s="83"/>
      <c r="BC4" s="83"/>
      <c r="BD4" s="86"/>
      <c r="BE4" s="319"/>
      <c r="BF4" s="86"/>
      <c r="BG4" s="86"/>
      <c r="BH4" s="86"/>
    </row>
    <row r="5" spans="1:60" s="71" customFormat="1" ht="15" customHeight="1" x14ac:dyDescent="0.2">
      <c r="A5" s="132"/>
      <c r="B5" s="251"/>
      <c r="C5" s="252" t="s">
        <v>80</v>
      </c>
      <c r="D5" s="322">
        <f>Start!C21</f>
        <v>0</v>
      </c>
      <c r="E5" s="254" t="s">
        <v>197</v>
      </c>
      <c r="F5" s="323"/>
      <c r="G5" s="255" t="s">
        <v>35</v>
      </c>
      <c r="H5" s="256">
        <f>Start!K21</f>
        <v>50012346</v>
      </c>
      <c r="I5" s="324"/>
      <c r="J5" s="244"/>
      <c r="K5" s="237"/>
      <c r="L5" s="237"/>
      <c r="M5" s="237"/>
      <c r="N5" s="237"/>
      <c r="O5" s="237"/>
      <c r="P5" s="237"/>
      <c r="Q5" s="237"/>
      <c r="R5" s="237"/>
      <c r="S5" s="237"/>
      <c r="T5" s="237"/>
      <c r="U5" s="237"/>
      <c r="V5" s="237"/>
      <c r="W5" s="237"/>
      <c r="AS5" s="72"/>
      <c r="AT5" s="77"/>
      <c r="AU5" s="77"/>
      <c r="AV5" s="72"/>
      <c r="AW5" s="72"/>
      <c r="AX5" s="72"/>
      <c r="AY5" s="72"/>
      <c r="AZ5" s="86"/>
      <c r="BA5" s="83"/>
      <c r="BB5" s="83"/>
      <c r="BC5" s="83"/>
      <c r="BD5" s="86"/>
      <c r="BE5" s="319"/>
      <c r="BF5" s="86"/>
      <c r="BG5" s="86"/>
      <c r="BH5" s="86"/>
    </row>
    <row r="6" spans="1:60" s="71" customFormat="1" ht="15.75" customHeight="1" x14ac:dyDescent="0.2">
      <c r="A6" s="132"/>
      <c r="B6" s="261"/>
      <c r="C6" s="261"/>
      <c r="D6" s="261"/>
      <c r="E6" s="262"/>
      <c r="F6" s="136"/>
      <c r="G6" s="263"/>
      <c r="H6" s="263"/>
      <c r="I6" s="136"/>
      <c r="J6" s="264"/>
      <c r="AS6" s="72"/>
      <c r="AT6" s="77"/>
      <c r="AU6" s="77"/>
      <c r="AV6" s="72"/>
      <c r="AW6" s="72"/>
      <c r="AX6" s="72"/>
      <c r="AY6" s="72"/>
      <c r="AZ6" s="86"/>
      <c r="BA6" s="83"/>
      <c r="BB6" s="83"/>
      <c r="BC6" s="83"/>
      <c r="BD6" s="86"/>
      <c r="BE6" s="319"/>
      <c r="BF6" s="86"/>
      <c r="BG6" s="86"/>
      <c r="BH6" s="86"/>
    </row>
    <row r="7" spans="1:60" s="174" customFormat="1" ht="26.25" customHeight="1" x14ac:dyDescent="0.2">
      <c r="A7" s="325"/>
      <c r="B7" s="756" t="s">
        <v>89</v>
      </c>
      <c r="C7" s="757"/>
      <c r="D7" s="757"/>
      <c r="E7" s="757"/>
      <c r="F7" s="757"/>
      <c r="G7" s="757"/>
      <c r="H7" s="758"/>
      <c r="I7" s="744" t="s">
        <v>44</v>
      </c>
      <c r="J7" s="746"/>
      <c r="K7" s="744" t="s">
        <v>45</v>
      </c>
      <c r="L7" s="746"/>
      <c r="M7" s="744" t="s">
        <v>46</v>
      </c>
      <c r="N7" s="746"/>
      <c r="O7" s="744" t="s">
        <v>47</v>
      </c>
      <c r="P7" s="746"/>
      <c r="Q7" s="744" t="s">
        <v>48</v>
      </c>
      <c r="R7" s="746"/>
      <c r="S7" s="569" t="s">
        <v>148</v>
      </c>
      <c r="T7" s="569" t="s">
        <v>149</v>
      </c>
      <c r="U7" s="569" t="s">
        <v>150</v>
      </c>
      <c r="V7" s="569" t="s">
        <v>151</v>
      </c>
      <c r="W7" s="569" t="s">
        <v>152</v>
      </c>
      <c r="AO7" s="326"/>
      <c r="AP7" s="326"/>
      <c r="AQ7" s="326"/>
      <c r="AR7" s="319"/>
      <c r="AS7" s="319"/>
      <c r="AT7" s="319"/>
      <c r="AU7" s="319"/>
      <c r="AV7" s="319"/>
      <c r="AW7" s="319"/>
      <c r="AX7" s="327">
        <f>D2</f>
        <v>2017</v>
      </c>
      <c r="AY7" s="328">
        <f>D5</f>
        <v>0</v>
      </c>
      <c r="AZ7" s="319"/>
      <c r="BA7" s="319"/>
      <c r="BB7" s="319"/>
      <c r="BC7" s="319"/>
      <c r="BD7" s="319"/>
      <c r="BE7" s="319"/>
      <c r="BF7" s="319"/>
      <c r="BG7" s="319"/>
      <c r="BH7" s="319"/>
    </row>
    <row r="8" spans="1:60" s="184" customFormat="1" ht="22.5" x14ac:dyDescent="0.2">
      <c r="A8" s="271"/>
      <c r="B8" s="329">
        <f>IF(D2="","",D2)</f>
        <v>2017</v>
      </c>
      <c r="C8" s="759" t="s">
        <v>55</v>
      </c>
      <c r="D8" s="760"/>
      <c r="E8" s="273" t="s">
        <v>16</v>
      </c>
      <c r="F8" s="761" t="s">
        <v>31</v>
      </c>
      <c r="G8" s="760"/>
      <c r="H8" s="274" t="s">
        <v>71</v>
      </c>
      <c r="I8" s="275" t="s">
        <v>43</v>
      </c>
      <c r="J8" s="276" t="s">
        <v>16</v>
      </c>
      <c r="K8" s="275" t="s">
        <v>43</v>
      </c>
      <c r="L8" s="276" t="s">
        <v>16</v>
      </c>
      <c r="M8" s="275" t="s">
        <v>43</v>
      </c>
      <c r="N8" s="276" t="s">
        <v>16</v>
      </c>
      <c r="O8" s="275" t="s">
        <v>43</v>
      </c>
      <c r="P8" s="276" t="s">
        <v>16</v>
      </c>
      <c r="Q8" s="275" t="s">
        <v>43</v>
      </c>
      <c r="R8" s="277" t="s">
        <v>16</v>
      </c>
      <c r="S8" s="278" t="s">
        <v>15</v>
      </c>
      <c r="T8" s="279" t="s">
        <v>15</v>
      </c>
      <c r="U8" s="279" t="s">
        <v>15</v>
      </c>
      <c r="V8" s="279" t="s">
        <v>15</v>
      </c>
      <c r="W8" s="279" t="s">
        <v>15</v>
      </c>
      <c r="AO8" s="280" t="s">
        <v>50</v>
      </c>
      <c r="AP8" s="280" t="s">
        <v>51</v>
      </c>
      <c r="AQ8" s="280" t="s">
        <v>52</v>
      </c>
      <c r="AR8" s="280" t="s">
        <v>53</v>
      </c>
      <c r="AS8" s="280" t="s">
        <v>54</v>
      </c>
      <c r="AT8" s="280" t="s">
        <v>50</v>
      </c>
      <c r="AU8" s="280" t="s">
        <v>51</v>
      </c>
      <c r="AV8" s="280" t="s">
        <v>52</v>
      </c>
      <c r="AW8" s="330" t="s">
        <v>53</v>
      </c>
      <c r="AX8" s="280" t="s">
        <v>54</v>
      </c>
      <c r="AY8" s="280" t="s">
        <v>76</v>
      </c>
      <c r="AZ8" s="331"/>
      <c r="BA8" s="331"/>
      <c r="BB8" s="331"/>
      <c r="BC8" s="331"/>
      <c r="BD8" s="331"/>
      <c r="BE8" s="331"/>
      <c r="BF8" s="331"/>
      <c r="BG8" s="331"/>
      <c r="BH8" s="331"/>
    </row>
    <row r="9" spans="1:60" s="155" customFormat="1" ht="11.25" x14ac:dyDescent="0.2">
      <c r="A9" s="281"/>
      <c r="B9" s="282"/>
      <c r="C9" s="194" t="s">
        <v>42</v>
      </c>
      <c r="D9" s="195" t="s">
        <v>13</v>
      </c>
      <c r="E9" s="195" t="str">
        <f>"["&amp;Start!$O$7&amp;"]"</f>
        <v>[$]</v>
      </c>
      <c r="F9" s="195" t="str">
        <f>"["&amp;Start!$O$7&amp;"/l]"</f>
        <v>[$/l]</v>
      </c>
      <c r="G9" s="195" t="str">
        <f>"["&amp;Start!$O$7&amp;"/kWh]"</f>
        <v>[$/kWh]</v>
      </c>
      <c r="H9" s="196" t="s">
        <v>72</v>
      </c>
      <c r="I9" s="194" t="s">
        <v>42</v>
      </c>
      <c r="J9" s="195" t="str">
        <f>"["&amp;Start!$O$7&amp;"]"</f>
        <v>[$]</v>
      </c>
      <c r="K9" s="194" t="s">
        <v>42</v>
      </c>
      <c r="L9" s="195" t="str">
        <f>"["&amp;Start!$O$7&amp;"]"</f>
        <v>[$]</v>
      </c>
      <c r="M9" s="194" t="s">
        <v>42</v>
      </c>
      <c r="N9" s="195" t="str">
        <f>"["&amp;Start!$O$7&amp;"]"</f>
        <v>[$]</v>
      </c>
      <c r="O9" s="194" t="s">
        <v>42</v>
      </c>
      <c r="P9" s="195" t="str">
        <f>"["&amp;Start!$O$7&amp;"]"</f>
        <v>[$]</v>
      </c>
      <c r="Q9" s="194" t="s">
        <v>42</v>
      </c>
      <c r="R9" s="283" t="str">
        <f>"["&amp;Start!$O$7&amp;"]"</f>
        <v>[$]</v>
      </c>
      <c r="S9" s="284" t="str">
        <f>"["&amp;Start!$O$7&amp;"/l]"</f>
        <v>[$/l]</v>
      </c>
      <c r="T9" s="196" t="str">
        <f>"["&amp;Start!$O$7&amp;"/l]"</f>
        <v>[$/l]</v>
      </c>
      <c r="U9" s="196" t="str">
        <f>"["&amp;Start!$O$7&amp;"/l]"</f>
        <v>[$/l]</v>
      </c>
      <c r="V9" s="196" t="str">
        <f>"["&amp;Start!$O$7&amp;"/l]"</f>
        <v>[$/l]</v>
      </c>
      <c r="W9" s="196" t="str">
        <f>"["&amp;Start!$O$7&amp;"/l]"</f>
        <v>[$/l]</v>
      </c>
      <c r="AO9" s="285"/>
      <c r="AP9" s="285"/>
      <c r="AQ9" s="285"/>
      <c r="AR9" s="285"/>
      <c r="AS9" s="285"/>
      <c r="AT9" s="285"/>
      <c r="AU9" s="285"/>
      <c r="AV9" s="285"/>
      <c r="AW9" s="332"/>
      <c r="AX9" s="285"/>
      <c r="AY9" s="285" t="s">
        <v>77</v>
      </c>
      <c r="AZ9" s="333"/>
      <c r="BA9" s="333"/>
      <c r="BB9" s="333"/>
      <c r="BC9" s="333"/>
      <c r="BD9" s="333"/>
      <c r="BE9" s="333"/>
      <c r="BF9" s="333"/>
      <c r="BG9" s="333"/>
      <c r="BH9" s="333"/>
    </row>
    <row r="10" spans="1:60" ht="14.25" customHeight="1" x14ac:dyDescent="0.2">
      <c r="A10" s="132" t="str">
        <f>B10&amp;$D$2</f>
        <v>Jan2017</v>
      </c>
      <c r="B10" s="199" t="s">
        <v>0</v>
      </c>
      <c r="C10" s="286">
        <f t="shared" ref="C10:C21" si="0">I10+K10+M10+O10+Q10</f>
        <v>0</v>
      </c>
      <c r="D10" s="287">
        <f>C10*6.96</f>
        <v>0</v>
      </c>
      <c r="E10" s="288">
        <f t="shared" ref="E10:E21" si="1">J10+L10+N10+P10+R10</f>
        <v>0</v>
      </c>
      <c r="F10" s="334" t="str">
        <f t="shared" ref="F10:F21" si="2">IF(E10=0,"",E10/C10)</f>
        <v/>
      </c>
      <c r="G10" s="334" t="str">
        <f>IF(E10=0,"",E10/D10)</f>
        <v/>
      </c>
      <c r="H10" s="335">
        <f>D10*AY7</f>
        <v>0</v>
      </c>
      <c r="I10" s="5"/>
      <c r="J10" s="3"/>
      <c r="K10" s="5"/>
      <c r="L10" s="3"/>
      <c r="M10" s="5"/>
      <c r="N10" s="3"/>
      <c r="O10" s="5"/>
      <c r="P10" s="3"/>
      <c r="Q10" s="5"/>
      <c r="R10" s="10"/>
      <c r="S10" s="291" t="str">
        <f t="shared" ref="S10:S21" si="3">IF(J10="","",J10/I10)</f>
        <v/>
      </c>
      <c r="T10" s="292" t="str">
        <f t="shared" ref="T10:T21" si="4">IF(L10="","",L10/K10)</f>
        <v/>
      </c>
      <c r="U10" s="292" t="str">
        <f t="shared" ref="U10:U21" si="5">IF(N10="","",N10/M10)</f>
        <v/>
      </c>
      <c r="V10" s="292" t="str">
        <f t="shared" ref="V10:V21" si="6">IF(P10="","",P10/O10)</f>
        <v/>
      </c>
      <c r="W10" s="292" t="str">
        <f>IF(R10="","",R10/Q10)</f>
        <v/>
      </c>
      <c r="AO10" s="293">
        <f>J10</f>
        <v>0</v>
      </c>
      <c r="AP10" s="293">
        <f>L10</f>
        <v>0</v>
      </c>
      <c r="AQ10" s="293">
        <f>N10</f>
        <v>0</v>
      </c>
      <c r="AR10" s="293">
        <f>P10</f>
        <v>0</v>
      </c>
      <c r="AS10" s="293">
        <f>R10</f>
        <v>0</v>
      </c>
      <c r="AT10" s="293">
        <f>I10</f>
        <v>0</v>
      </c>
      <c r="AU10" s="293">
        <f>K10</f>
        <v>0</v>
      </c>
      <c r="AV10" s="293">
        <f>M10</f>
        <v>0</v>
      </c>
      <c r="AW10" s="293">
        <f>O10</f>
        <v>0</v>
      </c>
      <c r="AX10" s="293">
        <f>Q10</f>
        <v>0</v>
      </c>
      <c r="AY10" s="293"/>
    </row>
    <row r="11" spans="1:60" ht="14.25" customHeight="1" x14ac:dyDescent="0.2">
      <c r="A11" s="132" t="str">
        <f t="shared" ref="A11:A21" si="7">B11&amp;$D$2</f>
        <v>Feb2017</v>
      </c>
      <c r="B11" s="199" t="s">
        <v>1</v>
      </c>
      <c r="C11" s="286">
        <f t="shared" si="0"/>
        <v>0</v>
      </c>
      <c r="D11" s="287">
        <f t="shared" ref="D11:D21" si="8">C11*6.96</f>
        <v>0</v>
      </c>
      <c r="E11" s="288">
        <f t="shared" si="1"/>
        <v>0</v>
      </c>
      <c r="F11" s="334" t="str">
        <f t="shared" si="2"/>
        <v/>
      </c>
      <c r="G11" s="334" t="str">
        <f t="shared" ref="G11:G21" si="9">IF(E11=0,"",E11/D11)</f>
        <v/>
      </c>
      <c r="H11" s="335">
        <f>D11*AY7</f>
        <v>0</v>
      </c>
      <c r="I11" s="5"/>
      <c r="J11" s="3"/>
      <c r="K11" s="5"/>
      <c r="L11" s="3"/>
      <c r="M11" s="5"/>
      <c r="N11" s="3"/>
      <c r="O11" s="5"/>
      <c r="P11" s="3"/>
      <c r="Q11" s="5"/>
      <c r="R11" s="10"/>
      <c r="S11" s="291" t="str">
        <f t="shared" si="3"/>
        <v/>
      </c>
      <c r="T11" s="292" t="str">
        <f t="shared" si="4"/>
        <v/>
      </c>
      <c r="U11" s="292" t="str">
        <f t="shared" si="5"/>
        <v/>
      </c>
      <c r="V11" s="292" t="str">
        <f t="shared" si="6"/>
        <v/>
      </c>
      <c r="W11" s="292" t="str">
        <f t="shared" ref="W11:W21" si="10">IF(R11="","",R11/Q11)</f>
        <v/>
      </c>
      <c r="AO11" s="293">
        <f t="shared" ref="AO11:AO21" si="11">J11</f>
        <v>0</v>
      </c>
      <c r="AP11" s="293">
        <f t="shared" ref="AP11:AP21" si="12">L11</f>
        <v>0</v>
      </c>
      <c r="AQ11" s="293">
        <f t="shared" ref="AQ11:AQ21" si="13">N11</f>
        <v>0</v>
      </c>
      <c r="AR11" s="293">
        <f t="shared" ref="AR11:AR21" si="14">P11</f>
        <v>0</v>
      </c>
      <c r="AS11" s="293">
        <f t="shared" ref="AS11:AS21" si="15">R11</f>
        <v>0</v>
      </c>
      <c r="AT11" s="293">
        <f t="shared" ref="AT11:AT21" si="16">I11</f>
        <v>0</v>
      </c>
      <c r="AU11" s="293">
        <f t="shared" ref="AU11:AU21" si="17">K11</f>
        <v>0</v>
      </c>
      <c r="AV11" s="293">
        <f t="shared" ref="AV11:AV21" si="18">M11</f>
        <v>0</v>
      </c>
      <c r="AW11" s="293">
        <f t="shared" ref="AW11:AW21" si="19">O11</f>
        <v>0</v>
      </c>
      <c r="AX11" s="293">
        <f t="shared" ref="AX11:AX21" si="20">Q11</f>
        <v>0</v>
      </c>
      <c r="AY11" s="293"/>
    </row>
    <row r="12" spans="1:60" ht="14.25" customHeight="1" x14ac:dyDescent="0.2">
      <c r="A12" s="132" t="str">
        <f t="shared" si="7"/>
        <v>Mar2017</v>
      </c>
      <c r="B12" s="199" t="s">
        <v>2</v>
      </c>
      <c r="C12" s="286">
        <f t="shared" si="0"/>
        <v>0</v>
      </c>
      <c r="D12" s="287">
        <f t="shared" si="8"/>
        <v>0</v>
      </c>
      <c r="E12" s="288">
        <f t="shared" si="1"/>
        <v>0</v>
      </c>
      <c r="F12" s="334" t="str">
        <f t="shared" si="2"/>
        <v/>
      </c>
      <c r="G12" s="334" t="str">
        <f t="shared" si="9"/>
        <v/>
      </c>
      <c r="H12" s="335">
        <f>D12*AY7</f>
        <v>0</v>
      </c>
      <c r="I12" s="5"/>
      <c r="J12" s="3"/>
      <c r="K12" s="5"/>
      <c r="L12" s="3"/>
      <c r="M12" s="5"/>
      <c r="N12" s="3"/>
      <c r="O12" s="5"/>
      <c r="P12" s="3"/>
      <c r="Q12" s="5"/>
      <c r="R12" s="10"/>
      <c r="S12" s="291" t="str">
        <f t="shared" si="3"/>
        <v/>
      </c>
      <c r="T12" s="292" t="str">
        <f t="shared" si="4"/>
        <v/>
      </c>
      <c r="U12" s="292" t="str">
        <f t="shared" si="5"/>
        <v/>
      </c>
      <c r="V12" s="292" t="str">
        <f t="shared" si="6"/>
        <v/>
      </c>
      <c r="W12" s="292" t="str">
        <f t="shared" si="10"/>
        <v/>
      </c>
      <c r="AO12" s="293">
        <f t="shared" si="11"/>
        <v>0</v>
      </c>
      <c r="AP12" s="293">
        <f t="shared" si="12"/>
        <v>0</v>
      </c>
      <c r="AQ12" s="293">
        <f t="shared" si="13"/>
        <v>0</v>
      </c>
      <c r="AR12" s="293">
        <f t="shared" si="14"/>
        <v>0</v>
      </c>
      <c r="AS12" s="293">
        <f t="shared" si="15"/>
        <v>0</v>
      </c>
      <c r="AT12" s="293">
        <f t="shared" si="16"/>
        <v>0</v>
      </c>
      <c r="AU12" s="293">
        <f t="shared" si="17"/>
        <v>0</v>
      </c>
      <c r="AV12" s="293">
        <f t="shared" si="18"/>
        <v>0</v>
      </c>
      <c r="AW12" s="293">
        <f t="shared" si="19"/>
        <v>0</v>
      </c>
      <c r="AX12" s="293">
        <f t="shared" si="20"/>
        <v>0</v>
      </c>
      <c r="AY12" s="293"/>
    </row>
    <row r="13" spans="1:60" ht="14.25" customHeight="1" x14ac:dyDescent="0.2">
      <c r="A13" s="132" t="str">
        <f t="shared" si="7"/>
        <v>Apr2017</v>
      </c>
      <c r="B13" s="199" t="s">
        <v>3</v>
      </c>
      <c r="C13" s="286">
        <f t="shared" si="0"/>
        <v>0</v>
      </c>
      <c r="D13" s="287">
        <f t="shared" si="8"/>
        <v>0</v>
      </c>
      <c r="E13" s="288">
        <f t="shared" si="1"/>
        <v>0</v>
      </c>
      <c r="F13" s="334" t="str">
        <f t="shared" si="2"/>
        <v/>
      </c>
      <c r="G13" s="334" t="str">
        <f t="shared" si="9"/>
        <v/>
      </c>
      <c r="H13" s="335">
        <f>D13*AY7</f>
        <v>0</v>
      </c>
      <c r="I13" s="5"/>
      <c r="J13" s="3"/>
      <c r="K13" s="5"/>
      <c r="L13" s="3"/>
      <c r="M13" s="5"/>
      <c r="N13" s="3"/>
      <c r="O13" s="5"/>
      <c r="P13" s="3"/>
      <c r="Q13" s="5"/>
      <c r="R13" s="10"/>
      <c r="S13" s="291" t="str">
        <f t="shared" si="3"/>
        <v/>
      </c>
      <c r="T13" s="292" t="str">
        <f t="shared" si="4"/>
        <v/>
      </c>
      <c r="U13" s="292" t="str">
        <f t="shared" si="5"/>
        <v/>
      </c>
      <c r="V13" s="292" t="str">
        <f t="shared" si="6"/>
        <v/>
      </c>
      <c r="W13" s="292" t="str">
        <f t="shared" si="10"/>
        <v/>
      </c>
      <c r="AO13" s="293">
        <f t="shared" si="11"/>
        <v>0</v>
      </c>
      <c r="AP13" s="293">
        <f t="shared" si="12"/>
        <v>0</v>
      </c>
      <c r="AQ13" s="293">
        <f t="shared" si="13"/>
        <v>0</v>
      </c>
      <c r="AR13" s="293">
        <f t="shared" si="14"/>
        <v>0</v>
      </c>
      <c r="AS13" s="293">
        <f t="shared" si="15"/>
        <v>0</v>
      </c>
      <c r="AT13" s="293">
        <f t="shared" si="16"/>
        <v>0</v>
      </c>
      <c r="AU13" s="293">
        <f t="shared" si="17"/>
        <v>0</v>
      </c>
      <c r="AV13" s="293">
        <f t="shared" si="18"/>
        <v>0</v>
      </c>
      <c r="AW13" s="293">
        <f t="shared" si="19"/>
        <v>0</v>
      </c>
      <c r="AX13" s="293">
        <f t="shared" si="20"/>
        <v>0</v>
      </c>
      <c r="AY13" s="293"/>
    </row>
    <row r="14" spans="1:60" ht="14.25" customHeight="1" x14ac:dyDescent="0.2">
      <c r="A14" s="132" t="str">
        <f t="shared" si="7"/>
        <v>May2017</v>
      </c>
      <c r="B14" s="199" t="s">
        <v>4</v>
      </c>
      <c r="C14" s="286">
        <f t="shared" si="0"/>
        <v>0</v>
      </c>
      <c r="D14" s="287">
        <f t="shared" si="8"/>
        <v>0</v>
      </c>
      <c r="E14" s="288">
        <f t="shared" si="1"/>
        <v>0</v>
      </c>
      <c r="F14" s="334" t="str">
        <f t="shared" si="2"/>
        <v/>
      </c>
      <c r="G14" s="334" t="str">
        <f t="shared" si="9"/>
        <v/>
      </c>
      <c r="H14" s="335">
        <f>D14*AY7</f>
        <v>0</v>
      </c>
      <c r="I14" s="5"/>
      <c r="J14" s="3"/>
      <c r="K14" s="5"/>
      <c r="L14" s="3"/>
      <c r="M14" s="5"/>
      <c r="N14" s="3"/>
      <c r="O14" s="5"/>
      <c r="P14" s="3"/>
      <c r="Q14" s="5"/>
      <c r="R14" s="10"/>
      <c r="S14" s="291" t="str">
        <f t="shared" si="3"/>
        <v/>
      </c>
      <c r="T14" s="292" t="str">
        <f t="shared" si="4"/>
        <v/>
      </c>
      <c r="U14" s="292" t="str">
        <f t="shared" si="5"/>
        <v/>
      </c>
      <c r="V14" s="292" t="str">
        <f t="shared" si="6"/>
        <v/>
      </c>
      <c r="W14" s="292" t="str">
        <f t="shared" si="10"/>
        <v/>
      </c>
      <c r="AO14" s="293">
        <f t="shared" si="11"/>
        <v>0</v>
      </c>
      <c r="AP14" s="293">
        <f t="shared" si="12"/>
        <v>0</v>
      </c>
      <c r="AQ14" s="293">
        <f t="shared" si="13"/>
        <v>0</v>
      </c>
      <c r="AR14" s="293">
        <f t="shared" si="14"/>
        <v>0</v>
      </c>
      <c r="AS14" s="293">
        <f t="shared" si="15"/>
        <v>0</v>
      </c>
      <c r="AT14" s="293">
        <f t="shared" si="16"/>
        <v>0</v>
      </c>
      <c r="AU14" s="293">
        <f t="shared" si="17"/>
        <v>0</v>
      </c>
      <c r="AV14" s="293">
        <f t="shared" si="18"/>
        <v>0</v>
      </c>
      <c r="AW14" s="293">
        <f t="shared" si="19"/>
        <v>0</v>
      </c>
      <c r="AX14" s="293">
        <f t="shared" si="20"/>
        <v>0</v>
      </c>
      <c r="AY14" s="293"/>
    </row>
    <row r="15" spans="1:60" ht="14.25" customHeight="1" x14ac:dyDescent="0.2">
      <c r="A15" s="132" t="str">
        <f t="shared" si="7"/>
        <v>Jun2017</v>
      </c>
      <c r="B15" s="199" t="s">
        <v>5</v>
      </c>
      <c r="C15" s="286">
        <f t="shared" si="0"/>
        <v>0</v>
      </c>
      <c r="D15" s="287">
        <f t="shared" si="8"/>
        <v>0</v>
      </c>
      <c r="E15" s="288">
        <f t="shared" si="1"/>
        <v>0</v>
      </c>
      <c r="F15" s="334" t="str">
        <f t="shared" si="2"/>
        <v/>
      </c>
      <c r="G15" s="334" t="str">
        <f t="shared" si="9"/>
        <v/>
      </c>
      <c r="H15" s="335">
        <f>D15*AY7</f>
        <v>0</v>
      </c>
      <c r="I15" s="5"/>
      <c r="J15" s="3"/>
      <c r="K15" s="5"/>
      <c r="L15" s="3"/>
      <c r="M15" s="5"/>
      <c r="N15" s="3"/>
      <c r="O15" s="5"/>
      <c r="P15" s="3"/>
      <c r="Q15" s="5"/>
      <c r="R15" s="10"/>
      <c r="S15" s="291" t="str">
        <f t="shared" si="3"/>
        <v/>
      </c>
      <c r="T15" s="292" t="str">
        <f t="shared" si="4"/>
        <v/>
      </c>
      <c r="U15" s="292" t="str">
        <f t="shared" si="5"/>
        <v/>
      </c>
      <c r="V15" s="292" t="str">
        <f t="shared" si="6"/>
        <v/>
      </c>
      <c r="W15" s="292" t="str">
        <f t="shared" si="10"/>
        <v/>
      </c>
      <c r="AO15" s="293">
        <f t="shared" si="11"/>
        <v>0</v>
      </c>
      <c r="AP15" s="293">
        <f t="shared" si="12"/>
        <v>0</v>
      </c>
      <c r="AQ15" s="293">
        <f t="shared" si="13"/>
        <v>0</v>
      </c>
      <c r="AR15" s="293">
        <f t="shared" si="14"/>
        <v>0</v>
      </c>
      <c r="AS15" s="293">
        <f t="shared" si="15"/>
        <v>0</v>
      </c>
      <c r="AT15" s="293">
        <f t="shared" si="16"/>
        <v>0</v>
      </c>
      <c r="AU15" s="293">
        <f t="shared" si="17"/>
        <v>0</v>
      </c>
      <c r="AV15" s="293">
        <f t="shared" si="18"/>
        <v>0</v>
      </c>
      <c r="AW15" s="293">
        <f t="shared" si="19"/>
        <v>0</v>
      </c>
      <c r="AX15" s="293">
        <f t="shared" si="20"/>
        <v>0</v>
      </c>
      <c r="AY15" s="293"/>
    </row>
    <row r="16" spans="1:60" ht="14.25" customHeight="1" x14ac:dyDescent="0.2">
      <c r="A16" s="132" t="str">
        <f t="shared" si="7"/>
        <v>Jul2017</v>
      </c>
      <c r="B16" s="199" t="s">
        <v>6</v>
      </c>
      <c r="C16" s="286">
        <f t="shared" si="0"/>
        <v>0</v>
      </c>
      <c r="D16" s="287">
        <f t="shared" si="8"/>
        <v>0</v>
      </c>
      <c r="E16" s="288">
        <f t="shared" si="1"/>
        <v>0</v>
      </c>
      <c r="F16" s="334" t="str">
        <f t="shared" si="2"/>
        <v/>
      </c>
      <c r="G16" s="334" t="str">
        <f t="shared" si="9"/>
        <v/>
      </c>
      <c r="H16" s="335">
        <f>D16*AY7</f>
        <v>0</v>
      </c>
      <c r="I16" s="5"/>
      <c r="J16" s="3"/>
      <c r="K16" s="5"/>
      <c r="L16" s="3"/>
      <c r="M16" s="5"/>
      <c r="N16" s="3"/>
      <c r="O16" s="5"/>
      <c r="P16" s="3"/>
      <c r="Q16" s="5"/>
      <c r="R16" s="10"/>
      <c r="S16" s="291" t="str">
        <f t="shared" si="3"/>
        <v/>
      </c>
      <c r="T16" s="292" t="str">
        <f t="shared" si="4"/>
        <v/>
      </c>
      <c r="U16" s="292" t="str">
        <f t="shared" si="5"/>
        <v/>
      </c>
      <c r="V16" s="292" t="str">
        <f t="shared" si="6"/>
        <v/>
      </c>
      <c r="W16" s="292" t="str">
        <f t="shared" si="10"/>
        <v/>
      </c>
      <c r="AO16" s="293">
        <f t="shared" si="11"/>
        <v>0</v>
      </c>
      <c r="AP16" s="293">
        <f t="shared" si="12"/>
        <v>0</v>
      </c>
      <c r="AQ16" s="293">
        <f t="shared" si="13"/>
        <v>0</v>
      </c>
      <c r="AR16" s="293">
        <f t="shared" si="14"/>
        <v>0</v>
      </c>
      <c r="AS16" s="293">
        <f t="shared" si="15"/>
        <v>0</v>
      </c>
      <c r="AT16" s="293">
        <f t="shared" si="16"/>
        <v>0</v>
      </c>
      <c r="AU16" s="293">
        <f t="shared" si="17"/>
        <v>0</v>
      </c>
      <c r="AV16" s="293">
        <f t="shared" si="18"/>
        <v>0</v>
      </c>
      <c r="AW16" s="293">
        <f t="shared" si="19"/>
        <v>0</v>
      </c>
      <c r="AX16" s="293">
        <f t="shared" si="20"/>
        <v>0</v>
      </c>
      <c r="AY16" s="293"/>
    </row>
    <row r="17" spans="1:60" ht="14.25" customHeight="1" x14ac:dyDescent="0.2">
      <c r="A17" s="132" t="str">
        <f t="shared" si="7"/>
        <v>Aug2017</v>
      </c>
      <c r="B17" s="199" t="s">
        <v>7</v>
      </c>
      <c r="C17" s="286">
        <f t="shared" si="0"/>
        <v>0</v>
      </c>
      <c r="D17" s="287">
        <f t="shared" si="8"/>
        <v>0</v>
      </c>
      <c r="E17" s="288">
        <f t="shared" si="1"/>
        <v>0</v>
      </c>
      <c r="F17" s="334" t="str">
        <f t="shared" si="2"/>
        <v/>
      </c>
      <c r="G17" s="334" t="str">
        <f t="shared" si="9"/>
        <v/>
      </c>
      <c r="H17" s="335">
        <f>D17*AY7</f>
        <v>0</v>
      </c>
      <c r="I17" s="5"/>
      <c r="J17" s="3"/>
      <c r="K17" s="5"/>
      <c r="L17" s="3"/>
      <c r="M17" s="5"/>
      <c r="N17" s="3"/>
      <c r="O17" s="5"/>
      <c r="P17" s="3"/>
      <c r="Q17" s="5"/>
      <c r="R17" s="10"/>
      <c r="S17" s="291" t="str">
        <f t="shared" si="3"/>
        <v/>
      </c>
      <c r="T17" s="292" t="str">
        <f t="shared" si="4"/>
        <v/>
      </c>
      <c r="U17" s="292" t="str">
        <f t="shared" si="5"/>
        <v/>
      </c>
      <c r="V17" s="292" t="str">
        <f t="shared" si="6"/>
        <v/>
      </c>
      <c r="W17" s="292" t="str">
        <f t="shared" si="10"/>
        <v/>
      </c>
      <c r="AO17" s="293">
        <f t="shared" si="11"/>
        <v>0</v>
      </c>
      <c r="AP17" s="293">
        <f t="shared" si="12"/>
        <v>0</v>
      </c>
      <c r="AQ17" s="293">
        <f t="shared" si="13"/>
        <v>0</v>
      </c>
      <c r="AR17" s="293">
        <f t="shared" si="14"/>
        <v>0</v>
      </c>
      <c r="AS17" s="293">
        <f t="shared" si="15"/>
        <v>0</v>
      </c>
      <c r="AT17" s="293">
        <f t="shared" si="16"/>
        <v>0</v>
      </c>
      <c r="AU17" s="293">
        <f t="shared" si="17"/>
        <v>0</v>
      </c>
      <c r="AV17" s="293">
        <f t="shared" si="18"/>
        <v>0</v>
      </c>
      <c r="AW17" s="293">
        <f t="shared" si="19"/>
        <v>0</v>
      </c>
      <c r="AX17" s="293">
        <f t="shared" si="20"/>
        <v>0</v>
      </c>
      <c r="AY17" s="293"/>
    </row>
    <row r="18" spans="1:60" ht="14.25" customHeight="1" x14ac:dyDescent="0.2">
      <c r="A18" s="132" t="str">
        <f t="shared" si="7"/>
        <v>Sep2017</v>
      </c>
      <c r="B18" s="199" t="s">
        <v>8</v>
      </c>
      <c r="C18" s="286">
        <f t="shared" si="0"/>
        <v>0</v>
      </c>
      <c r="D18" s="287">
        <f t="shared" si="8"/>
        <v>0</v>
      </c>
      <c r="E18" s="288">
        <f t="shared" si="1"/>
        <v>0</v>
      </c>
      <c r="F18" s="334" t="str">
        <f t="shared" si="2"/>
        <v/>
      </c>
      <c r="G18" s="334" t="str">
        <f t="shared" si="9"/>
        <v/>
      </c>
      <c r="H18" s="335">
        <f>D18*AY7</f>
        <v>0</v>
      </c>
      <c r="I18" s="5"/>
      <c r="J18" s="3"/>
      <c r="K18" s="5"/>
      <c r="L18" s="3"/>
      <c r="M18" s="5"/>
      <c r="N18" s="3"/>
      <c r="O18" s="5"/>
      <c r="P18" s="3"/>
      <c r="Q18" s="5"/>
      <c r="R18" s="10"/>
      <c r="S18" s="291" t="str">
        <f t="shared" si="3"/>
        <v/>
      </c>
      <c r="T18" s="292" t="str">
        <f t="shared" si="4"/>
        <v/>
      </c>
      <c r="U18" s="292" t="str">
        <f t="shared" si="5"/>
        <v/>
      </c>
      <c r="V18" s="292" t="str">
        <f t="shared" si="6"/>
        <v/>
      </c>
      <c r="W18" s="292" t="str">
        <f t="shared" si="10"/>
        <v/>
      </c>
      <c r="AO18" s="293">
        <f t="shared" si="11"/>
        <v>0</v>
      </c>
      <c r="AP18" s="293">
        <f t="shared" si="12"/>
        <v>0</v>
      </c>
      <c r="AQ18" s="293">
        <f t="shared" si="13"/>
        <v>0</v>
      </c>
      <c r="AR18" s="293">
        <f t="shared" si="14"/>
        <v>0</v>
      </c>
      <c r="AS18" s="293">
        <f t="shared" si="15"/>
        <v>0</v>
      </c>
      <c r="AT18" s="293">
        <f t="shared" si="16"/>
        <v>0</v>
      </c>
      <c r="AU18" s="293">
        <f t="shared" si="17"/>
        <v>0</v>
      </c>
      <c r="AV18" s="293">
        <f t="shared" si="18"/>
        <v>0</v>
      </c>
      <c r="AW18" s="293">
        <f t="shared" si="19"/>
        <v>0</v>
      </c>
      <c r="AX18" s="293">
        <f t="shared" si="20"/>
        <v>0</v>
      </c>
      <c r="AY18" s="293"/>
    </row>
    <row r="19" spans="1:60" ht="14.25" customHeight="1" x14ac:dyDescent="0.2">
      <c r="A19" s="132" t="str">
        <f t="shared" si="7"/>
        <v>Oct2017</v>
      </c>
      <c r="B19" s="199" t="s">
        <v>9</v>
      </c>
      <c r="C19" s="286">
        <f t="shared" si="0"/>
        <v>0</v>
      </c>
      <c r="D19" s="287">
        <f t="shared" si="8"/>
        <v>0</v>
      </c>
      <c r="E19" s="288">
        <f t="shared" si="1"/>
        <v>0</v>
      </c>
      <c r="F19" s="334" t="str">
        <f t="shared" si="2"/>
        <v/>
      </c>
      <c r="G19" s="334" t="str">
        <f t="shared" si="9"/>
        <v/>
      </c>
      <c r="H19" s="335">
        <f>D19*AY7</f>
        <v>0</v>
      </c>
      <c r="I19" s="5"/>
      <c r="J19" s="3"/>
      <c r="K19" s="5"/>
      <c r="L19" s="3"/>
      <c r="M19" s="5"/>
      <c r="N19" s="3"/>
      <c r="O19" s="5"/>
      <c r="P19" s="3"/>
      <c r="Q19" s="5"/>
      <c r="R19" s="10"/>
      <c r="S19" s="291" t="str">
        <f t="shared" si="3"/>
        <v/>
      </c>
      <c r="T19" s="292" t="str">
        <f t="shared" si="4"/>
        <v/>
      </c>
      <c r="U19" s="292" t="str">
        <f t="shared" si="5"/>
        <v/>
      </c>
      <c r="V19" s="292" t="str">
        <f t="shared" si="6"/>
        <v/>
      </c>
      <c r="W19" s="292" t="str">
        <f t="shared" si="10"/>
        <v/>
      </c>
      <c r="AO19" s="293">
        <f t="shared" si="11"/>
        <v>0</v>
      </c>
      <c r="AP19" s="293">
        <f t="shared" si="12"/>
        <v>0</v>
      </c>
      <c r="AQ19" s="293">
        <f t="shared" si="13"/>
        <v>0</v>
      </c>
      <c r="AR19" s="293">
        <f t="shared" si="14"/>
        <v>0</v>
      </c>
      <c r="AS19" s="293">
        <f t="shared" si="15"/>
        <v>0</v>
      </c>
      <c r="AT19" s="293">
        <f t="shared" si="16"/>
        <v>0</v>
      </c>
      <c r="AU19" s="293">
        <f t="shared" si="17"/>
        <v>0</v>
      </c>
      <c r="AV19" s="293">
        <f t="shared" si="18"/>
        <v>0</v>
      </c>
      <c r="AW19" s="293">
        <f t="shared" si="19"/>
        <v>0</v>
      </c>
      <c r="AX19" s="293">
        <f t="shared" si="20"/>
        <v>0</v>
      </c>
      <c r="AY19" s="293"/>
    </row>
    <row r="20" spans="1:60" ht="14.25" customHeight="1" x14ac:dyDescent="0.2">
      <c r="A20" s="132" t="str">
        <f t="shared" si="7"/>
        <v>Nov2017</v>
      </c>
      <c r="B20" s="199" t="s">
        <v>10</v>
      </c>
      <c r="C20" s="286">
        <f t="shared" si="0"/>
        <v>0</v>
      </c>
      <c r="D20" s="287">
        <f t="shared" si="8"/>
        <v>0</v>
      </c>
      <c r="E20" s="288">
        <f t="shared" si="1"/>
        <v>0</v>
      </c>
      <c r="F20" s="334" t="str">
        <f t="shared" si="2"/>
        <v/>
      </c>
      <c r="G20" s="334" t="str">
        <f t="shared" si="9"/>
        <v/>
      </c>
      <c r="H20" s="335">
        <f>D20*AY7</f>
        <v>0</v>
      </c>
      <c r="I20" s="5"/>
      <c r="J20" s="3"/>
      <c r="K20" s="5"/>
      <c r="L20" s="3"/>
      <c r="M20" s="5"/>
      <c r="N20" s="3"/>
      <c r="O20" s="5"/>
      <c r="P20" s="3"/>
      <c r="Q20" s="5"/>
      <c r="R20" s="10"/>
      <c r="S20" s="291" t="str">
        <f t="shared" si="3"/>
        <v/>
      </c>
      <c r="T20" s="292" t="str">
        <f t="shared" si="4"/>
        <v/>
      </c>
      <c r="U20" s="292" t="str">
        <f t="shared" si="5"/>
        <v/>
      </c>
      <c r="V20" s="292" t="str">
        <f t="shared" si="6"/>
        <v/>
      </c>
      <c r="W20" s="292" t="str">
        <f t="shared" si="10"/>
        <v/>
      </c>
      <c r="AO20" s="293">
        <f t="shared" si="11"/>
        <v>0</v>
      </c>
      <c r="AP20" s="293">
        <f t="shared" si="12"/>
        <v>0</v>
      </c>
      <c r="AQ20" s="293">
        <f t="shared" si="13"/>
        <v>0</v>
      </c>
      <c r="AR20" s="293">
        <f t="shared" si="14"/>
        <v>0</v>
      </c>
      <c r="AS20" s="293">
        <f t="shared" si="15"/>
        <v>0</v>
      </c>
      <c r="AT20" s="293">
        <f t="shared" si="16"/>
        <v>0</v>
      </c>
      <c r="AU20" s="293">
        <f t="shared" si="17"/>
        <v>0</v>
      </c>
      <c r="AV20" s="293">
        <f t="shared" si="18"/>
        <v>0</v>
      </c>
      <c r="AW20" s="293">
        <f t="shared" si="19"/>
        <v>0</v>
      </c>
      <c r="AX20" s="293">
        <f t="shared" si="20"/>
        <v>0</v>
      </c>
      <c r="AY20" s="293"/>
    </row>
    <row r="21" spans="1:60" ht="14.25" customHeight="1" x14ac:dyDescent="0.2">
      <c r="A21" s="132" t="str">
        <f t="shared" si="7"/>
        <v>Dec2017</v>
      </c>
      <c r="B21" s="209" t="s">
        <v>11</v>
      </c>
      <c r="C21" s="296">
        <f t="shared" si="0"/>
        <v>0</v>
      </c>
      <c r="D21" s="297">
        <f t="shared" si="8"/>
        <v>0</v>
      </c>
      <c r="E21" s="298">
        <f t="shared" si="1"/>
        <v>0</v>
      </c>
      <c r="F21" s="336" t="str">
        <f t="shared" si="2"/>
        <v/>
      </c>
      <c r="G21" s="334" t="str">
        <f t="shared" si="9"/>
        <v/>
      </c>
      <c r="H21" s="337">
        <f>D21*AY7</f>
        <v>0</v>
      </c>
      <c r="I21" s="6"/>
      <c r="J21" s="7"/>
      <c r="K21" s="6"/>
      <c r="L21" s="7"/>
      <c r="M21" s="6"/>
      <c r="N21" s="7"/>
      <c r="O21" s="6"/>
      <c r="P21" s="7"/>
      <c r="Q21" s="6"/>
      <c r="R21" s="11"/>
      <c r="S21" s="301" t="str">
        <f t="shared" si="3"/>
        <v/>
      </c>
      <c r="T21" s="302" t="str">
        <f t="shared" si="4"/>
        <v/>
      </c>
      <c r="U21" s="302" t="str">
        <f t="shared" si="5"/>
        <v/>
      </c>
      <c r="V21" s="302" t="str">
        <f t="shared" si="6"/>
        <v/>
      </c>
      <c r="W21" s="302" t="str">
        <f t="shared" si="10"/>
        <v/>
      </c>
      <c r="AO21" s="293">
        <f t="shared" si="11"/>
        <v>0</v>
      </c>
      <c r="AP21" s="293">
        <f t="shared" si="12"/>
        <v>0</v>
      </c>
      <c r="AQ21" s="293">
        <f t="shared" si="13"/>
        <v>0</v>
      </c>
      <c r="AR21" s="293">
        <f t="shared" si="14"/>
        <v>0</v>
      </c>
      <c r="AS21" s="293">
        <f t="shared" si="15"/>
        <v>0</v>
      </c>
      <c r="AT21" s="293">
        <f t="shared" si="16"/>
        <v>0</v>
      </c>
      <c r="AU21" s="293">
        <f t="shared" si="17"/>
        <v>0</v>
      </c>
      <c r="AV21" s="293">
        <f t="shared" si="18"/>
        <v>0</v>
      </c>
      <c r="AW21" s="293">
        <f t="shared" si="19"/>
        <v>0</v>
      </c>
      <c r="AX21" s="293">
        <f t="shared" si="20"/>
        <v>0</v>
      </c>
      <c r="AY21" s="293"/>
    </row>
    <row r="22" spans="1:60" s="308" customFormat="1" ht="14.25" customHeight="1" x14ac:dyDescent="0.2">
      <c r="A22" s="132" t="str">
        <f>B22&amp;A2</f>
        <v>Total</v>
      </c>
      <c r="B22" s="211" t="s">
        <v>23</v>
      </c>
      <c r="C22" s="212">
        <f>SUM(C10:C21)</f>
        <v>0</v>
      </c>
      <c r="D22" s="213">
        <f>SUM(D10:D21)</f>
        <v>0</v>
      </c>
      <c r="E22" s="213">
        <f>SUM(E10:E21)</f>
        <v>0</v>
      </c>
      <c r="F22" s="338" t="str">
        <f>IF(C22=0,"",E22/C22)</f>
        <v/>
      </c>
      <c r="G22" s="338" t="str">
        <f>IF(D22=0,"",E22/D22)</f>
        <v/>
      </c>
      <c r="H22" s="339">
        <f t="shared" ref="H22:R22" si="21">SUM(H10:H21)</f>
        <v>0</v>
      </c>
      <c r="I22" s="212">
        <f t="shared" si="21"/>
        <v>0</v>
      </c>
      <c r="J22" s="213">
        <f t="shared" si="21"/>
        <v>0</v>
      </c>
      <c r="K22" s="212">
        <f t="shared" si="21"/>
        <v>0</v>
      </c>
      <c r="L22" s="213">
        <f t="shared" si="21"/>
        <v>0</v>
      </c>
      <c r="M22" s="212">
        <f t="shared" si="21"/>
        <v>0</v>
      </c>
      <c r="N22" s="213">
        <f t="shared" si="21"/>
        <v>0</v>
      </c>
      <c r="O22" s="212">
        <f t="shared" si="21"/>
        <v>0</v>
      </c>
      <c r="P22" s="213">
        <f t="shared" si="21"/>
        <v>0</v>
      </c>
      <c r="Q22" s="212">
        <f t="shared" si="21"/>
        <v>0</v>
      </c>
      <c r="R22" s="305">
        <f t="shared" si="21"/>
        <v>0</v>
      </c>
      <c r="S22" s="306"/>
      <c r="T22" s="214"/>
      <c r="U22" s="214"/>
      <c r="V22" s="214"/>
      <c r="W22" s="214"/>
      <c r="X22" s="307"/>
      <c r="AN22" s="307"/>
      <c r="AO22" s="340"/>
      <c r="AP22" s="340"/>
      <c r="AQ22" s="340"/>
      <c r="AR22" s="341"/>
      <c r="AS22" s="341"/>
      <c r="AT22" s="341"/>
      <c r="AU22" s="341"/>
      <c r="AV22" s="341"/>
      <c r="AW22" s="340"/>
      <c r="AX22" s="340"/>
      <c r="AY22" s="340"/>
      <c r="AZ22" s="340"/>
      <c r="BA22" s="340"/>
      <c r="BB22" s="340"/>
      <c r="BC22" s="340"/>
      <c r="BD22" s="340"/>
      <c r="BE22" s="340"/>
      <c r="BF22" s="340"/>
      <c r="BG22" s="340"/>
      <c r="BH22" s="340"/>
    </row>
    <row r="23" spans="1:60" s="210" customFormat="1" ht="15" customHeight="1" x14ac:dyDescent="0.2">
      <c r="A23" s="132"/>
      <c r="B23" s="56"/>
      <c r="C23" s="57"/>
      <c r="D23" s="57"/>
      <c r="E23" s="57"/>
      <c r="F23" s="58"/>
      <c r="G23" s="310"/>
      <c r="H23" s="310"/>
      <c r="I23" s="310"/>
      <c r="J23" s="310"/>
      <c r="K23" s="310"/>
      <c r="L23" s="310"/>
      <c r="M23" s="310"/>
      <c r="N23" s="310"/>
      <c r="O23" s="310"/>
      <c r="P23" s="310"/>
      <c r="Q23" s="310"/>
      <c r="R23" s="310"/>
      <c r="S23" s="310"/>
      <c r="T23" s="310"/>
      <c r="U23" s="310"/>
      <c r="V23" s="310"/>
      <c r="W23" s="310"/>
      <c r="X23" s="310"/>
      <c r="AN23" s="312"/>
      <c r="AO23" s="342"/>
      <c r="AP23" s="342"/>
      <c r="AQ23" s="342"/>
      <c r="AR23" s="342"/>
      <c r="AS23" s="343"/>
      <c r="AT23" s="343"/>
      <c r="AU23" s="343"/>
      <c r="AV23" s="343"/>
      <c r="AW23" s="343"/>
      <c r="AX23" s="343"/>
      <c r="AY23" s="343"/>
      <c r="AZ23" s="343"/>
      <c r="BA23" s="343"/>
      <c r="BB23" s="343"/>
      <c r="BC23" s="343"/>
      <c r="BD23" s="343"/>
      <c r="BE23" s="343"/>
      <c r="BF23" s="343"/>
      <c r="BG23" s="343"/>
      <c r="BH23" s="343"/>
    </row>
    <row r="24" spans="1:60" x14ac:dyDescent="0.2">
      <c r="B24" s="738" t="s">
        <v>170</v>
      </c>
      <c r="C24" s="739"/>
      <c r="D24" s="739"/>
      <c r="E24" s="739"/>
      <c r="F24" s="740"/>
    </row>
    <row r="25" spans="1:60" x14ac:dyDescent="0.2">
      <c r="B25" s="59"/>
      <c r="C25" s="60"/>
      <c r="D25" s="60"/>
      <c r="E25" s="60"/>
      <c r="F25" s="61"/>
    </row>
    <row r="26" spans="1:60" x14ac:dyDescent="0.2">
      <c r="B26" s="741" t="s">
        <v>171</v>
      </c>
      <c r="C26" s="742"/>
      <c r="D26" s="742"/>
      <c r="E26" s="742"/>
      <c r="F26" s="743"/>
    </row>
    <row r="27" spans="1:60" x14ac:dyDescent="0.2">
      <c r="B27" s="62"/>
      <c r="C27" s="63"/>
      <c r="D27" s="63"/>
      <c r="E27" s="63"/>
      <c r="F27" s="64"/>
    </row>
  </sheetData>
  <sheetProtection sheet="1"/>
  <mergeCells count="10">
    <mergeCell ref="B24:F24"/>
    <mergeCell ref="B26:F26"/>
    <mergeCell ref="O7:P7"/>
    <mergeCell ref="Q7:R7"/>
    <mergeCell ref="B7:H7"/>
    <mergeCell ref="I7:J7"/>
    <mergeCell ref="K7:L7"/>
    <mergeCell ref="M7:N7"/>
    <mergeCell ref="C8:D8"/>
    <mergeCell ref="F8:G8"/>
  </mergeCells>
  <phoneticPr fontId="1" type="noConversion"/>
  <hyperlinks>
    <hyperlink ref="B24" location="Start!R1C1" display="Click here to jump back to start page" xr:uid="{00000000-0004-0000-0400-000000000000}"/>
    <hyperlink ref="B26:F26" location="'(LPG)'!R1C1" display="Click here to jump to diagrams" xr:uid="{00000000-0004-0000-0400-000001000000}"/>
  </hyperlinks>
  <pageMargins left="0.15748031496062992" right="0.15748031496062992"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4"/>
  <dimension ref="A1:BE27"/>
  <sheetViews>
    <sheetView showGridLines="0" zoomScaleNormal="100" workbookViewId="0">
      <selection activeCell="Q10" sqref="Q10"/>
    </sheetView>
  </sheetViews>
  <sheetFormatPr defaultColWidth="9.140625" defaultRowHeight="12.75" x14ac:dyDescent="0.2"/>
  <cols>
    <col min="1" max="1" width="3.85546875" style="314" customWidth="1"/>
    <col min="2" max="2" width="9.28515625" style="155" customWidth="1"/>
    <col min="3" max="4" width="8.42578125" style="155" customWidth="1"/>
    <col min="5" max="5" width="9.5703125" style="155" customWidth="1"/>
    <col min="6" max="6" width="10.42578125" style="155" customWidth="1"/>
    <col min="7" max="7" width="8.42578125" style="155" customWidth="1"/>
    <col min="8" max="8" width="9.28515625" style="155" customWidth="1"/>
    <col min="9" max="17" width="8.85546875" style="154" customWidth="1"/>
    <col min="18" max="23" width="9.85546875" style="154" customWidth="1"/>
    <col min="24" max="24" width="3.28515625" style="160" customWidth="1"/>
    <col min="25" max="27" width="10" style="160" customWidth="1"/>
    <col min="28" max="28" width="52.5703125" style="160" customWidth="1"/>
    <col min="29" max="29" width="10" style="160" customWidth="1"/>
    <col min="30" max="31" width="30.42578125" style="160" customWidth="1"/>
    <col min="32" max="32" width="13.42578125" style="160" customWidth="1"/>
    <col min="33" max="34" width="10" style="160" customWidth="1"/>
    <col min="35" max="37" width="9.140625" style="161"/>
    <col min="38" max="42" width="9.140625" style="160"/>
    <col min="43" max="44" width="9.140625" style="154"/>
    <col min="45" max="45" width="18.7109375" style="161" customWidth="1"/>
    <col min="46" max="46" width="9.140625" style="161"/>
    <col min="47" max="16384" width="9.140625" style="154"/>
  </cols>
  <sheetData>
    <row r="1" spans="1:57" ht="15" customHeight="1" x14ac:dyDescent="0.2">
      <c r="A1" s="222"/>
      <c r="B1" s="154"/>
      <c r="C1" s="154"/>
      <c r="D1" s="166"/>
      <c r="E1" s="73"/>
      <c r="F1" s="223"/>
      <c r="G1" s="154"/>
      <c r="H1" s="154"/>
      <c r="J1" s="224"/>
      <c r="S1" s="160"/>
      <c r="T1" s="160"/>
      <c r="U1" s="160"/>
      <c r="V1" s="160"/>
      <c r="W1" s="161"/>
      <c r="X1" s="161"/>
      <c r="Y1" s="161"/>
      <c r="Z1" s="161"/>
      <c r="AA1" s="161"/>
      <c r="AB1" s="161"/>
      <c r="AC1" s="161"/>
      <c r="AD1" s="161"/>
      <c r="AE1" s="161"/>
      <c r="AF1" s="161"/>
      <c r="AG1" s="161"/>
      <c r="AH1" s="161"/>
      <c r="AL1" s="162"/>
      <c r="AM1" s="162"/>
      <c r="AN1" s="162"/>
      <c r="AO1" s="162"/>
      <c r="AP1" s="162"/>
      <c r="AQ1" s="162"/>
      <c r="AR1" s="162"/>
      <c r="AS1" s="162"/>
      <c r="AT1" s="162"/>
      <c r="AU1" s="162"/>
      <c r="AV1" s="162"/>
      <c r="AW1" s="162"/>
      <c r="AX1" s="162"/>
      <c r="AY1" s="161"/>
      <c r="AZ1" s="161"/>
    </row>
    <row r="2" spans="1:57" s="71" customFormat="1" ht="14.25" customHeight="1" x14ac:dyDescent="0.2">
      <c r="A2" s="132"/>
      <c r="B2" s="225"/>
      <c r="C2" s="226" t="s">
        <v>36</v>
      </c>
      <c r="D2" s="227">
        <f>KPI!C3</f>
        <v>2017</v>
      </c>
      <c r="E2" s="228"/>
      <c r="F2" s="229" t="s">
        <v>86</v>
      </c>
      <c r="G2" s="230">
        <f>Start!H25</f>
        <v>0</v>
      </c>
      <c r="H2" s="231"/>
      <c r="I2" s="232"/>
      <c r="J2" s="233" t="s">
        <v>197</v>
      </c>
      <c r="K2" s="234" t="s">
        <v>80</v>
      </c>
      <c r="L2" s="235"/>
      <c r="M2" s="236"/>
      <c r="N2" s="154"/>
      <c r="O2" s="154"/>
      <c r="P2" s="237"/>
      <c r="Q2" s="237"/>
      <c r="R2" s="237"/>
      <c r="S2" s="237"/>
      <c r="T2" s="237"/>
      <c r="U2" s="237"/>
      <c r="V2" s="237"/>
      <c r="W2" s="237"/>
      <c r="AM2" s="72"/>
      <c r="AN2" s="77"/>
      <c r="AO2" s="77"/>
      <c r="AP2" s="72"/>
      <c r="AQ2" s="72"/>
      <c r="AR2" s="72"/>
      <c r="AS2" s="72"/>
      <c r="AT2" s="72"/>
      <c r="AU2" s="77"/>
      <c r="AV2" s="77"/>
      <c r="AW2" s="77"/>
      <c r="AX2" s="77"/>
      <c r="AY2" s="77"/>
      <c r="AZ2" s="77"/>
      <c r="BA2" s="149"/>
      <c r="BB2" s="150"/>
      <c r="BC2" s="149"/>
      <c r="BD2" s="72"/>
      <c r="BE2" s="72"/>
    </row>
    <row r="3" spans="1:57" s="71" customFormat="1" ht="14.25" customHeight="1" x14ac:dyDescent="0.2">
      <c r="A3" s="132"/>
      <c r="B3" s="238"/>
      <c r="C3" s="239" t="s">
        <v>56</v>
      </c>
      <c r="D3" s="221"/>
      <c r="E3" s="240"/>
      <c r="F3" s="241"/>
      <c r="G3" s="242"/>
      <c r="H3" s="243"/>
      <c r="I3" s="244"/>
      <c r="J3" s="245">
        <f>Start!C24</f>
        <v>0</v>
      </c>
      <c r="K3" s="246" t="str">
        <f>Start!D24</f>
        <v>Heating &amp; Other Gasoil</v>
      </c>
      <c r="L3" s="246"/>
      <c r="M3" s="247"/>
      <c r="N3" s="154"/>
      <c r="O3" s="154"/>
      <c r="P3" s="237"/>
      <c r="Q3" s="237"/>
      <c r="R3" s="237"/>
      <c r="S3" s="237"/>
      <c r="T3" s="237"/>
      <c r="U3" s="237"/>
      <c r="V3" s="237"/>
      <c r="W3" s="237"/>
      <c r="AM3" s="72"/>
      <c r="AN3" s="77"/>
      <c r="AO3" s="77"/>
      <c r="AP3" s="72"/>
      <c r="AQ3" s="72"/>
      <c r="AR3" s="72"/>
      <c r="AS3" s="72"/>
      <c r="AT3" s="72"/>
      <c r="AU3" s="77"/>
      <c r="AV3" s="77"/>
      <c r="AW3" s="77"/>
      <c r="AX3" s="77"/>
      <c r="AY3" s="77"/>
      <c r="AZ3" s="77"/>
      <c r="BA3" s="149"/>
      <c r="BB3" s="150"/>
      <c r="BC3" s="149"/>
      <c r="BD3" s="72"/>
      <c r="BE3" s="72"/>
    </row>
    <row r="4" spans="1:57" s="71" customFormat="1" ht="14.25" customHeight="1" x14ac:dyDescent="0.2">
      <c r="A4" s="132"/>
      <c r="B4" s="238"/>
      <c r="C4" s="248" t="s">
        <v>34</v>
      </c>
      <c r="D4" s="249" t="e">
        <f>E22/(C22)</f>
        <v>#DIV/0!</v>
      </c>
      <c r="E4" s="250" t="str">
        <f>Start!$O$7&amp;"/litre"</f>
        <v>$/litre</v>
      </c>
      <c r="F4" s="241"/>
      <c r="G4" s="242"/>
      <c r="H4" s="243"/>
      <c r="I4" s="244"/>
      <c r="J4" s="245">
        <f>Start!C25</f>
        <v>0</v>
      </c>
      <c r="K4" s="246" t="str">
        <f>Start!D25</f>
        <v>Kerosene</v>
      </c>
      <c r="L4" s="246"/>
      <c r="M4" s="247"/>
      <c r="N4" s="154"/>
      <c r="O4" s="154"/>
      <c r="P4" s="237"/>
      <c r="Q4" s="237"/>
      <c r="R4" s="237"/>
      <c r="S4" s="237"/>
      <c r="T4" s="237"/>
      <c r="U4" s="237"/>
      <c r="V4" s="237"/>
      <c r="W4" s="237"/>
      <c r="AM4" s="72"/>
      <c r="AN4" s="77"/>
      <c r="AO4" s="77"/>
      <c r="AP4" s="72"/>
      <c r="AQ4" s="72"/>
      <c r="AR4" s="72"/>
      <c r="AS4" s="72"/>
      <c r="AT4" s="72"/>
      <c r="AU4" s="77"/>
      <c r="AV4" s="77"/>
      <c r="AW4" s="77"/>
      <c r="AX4" s="77"/>
      <c r="AY4" s="77"/>
      <c r="AZ4" s="77"/>
      <c r="BA4" s="149"/>
      <c r="BB4" s="150"/>
      <c r="BC4" s="149"/>
      <c r="BD4" s="72"/>
      <c r="BE4" s="72"/>
    </row>
    <row r="5" spans="1:57" s="71" customFormat="1" ht="14.25" customHeight="1" x14ac:dyDescent="0.2">
      <c r="A5" s="132"/>
      <c r="B5" s="251"/>
      <c r="C5" s="252" t="s">
        <v>80</v>
      </c>
      <c r="D5" s="253">
        <f>AU7</f>
        <v>0</v>
      </c>
      <c r="E5" s="254" t="s">
        <v>197</v>
      </c>
      <c r="F5" s="255" t="s">
        <v>35</v>
      </c>
      <c r="G5" s="256">
        <f>Start!K25</f>
        <v>0</v>
      </c>
      <c r="H5" s="257"/>
      <c r="I5" s="244"/>
      <c r="J5" s="258">
        <f>Start!C26</f>
        <v>0</v>
      </c>
      <c r="K5" s="246" t="str">
        <f>Start!D26</f>
        <v>Fuel Oil</v>
      </c>
      <c r="L5" s="259"/>
      <c r="M5" s="260"/>
      <c r="N5" s="154"/>
      <c r="O5" s="154"/>
      <c r="P5" s="237"/>
      <c r="Q5" s="237"/>
      <c r="R5" s="237"/>
      <c r="S5" s="237"/>
      <c r="T5" s="237"/>
      <c r="U5" s="237"/>
      <c r="V5" s="237"/>
      <c r="W5" s="237"/>
      <c r="AM5" s="72"/>
      <c r="AN5" s="77"/>
      <c r="AO5" s="77"/>
      <c r="AP5" s="72"/>
      <c r="AQ5" s="72"/>
      <c r="AR5" s="72"/>
      <c r="AS5" s="72"/>
      <c r="AT5" s="72"/>
      <c r="AU5" s="77"/>
      <c r="AV5" s="77"/>
      <c r="AW5" s="77"/>
      <c r="AX5" s="77"/>
      <c r="AY5" s="77"/>
      <c r="AZ5" s="77"/>
      <c r="BA5" s="149"/>
      <c r="BB5" s="150"/>
      <c r="BC5" s="149"/>
      <c r="BD5" s="72"/>
      <c r="BE5" s="72"/>
    </row>
    <row r="6" spans="1:57" s="71" customFormat="1" ht="14.25" customHeight="1" x14ac:dyDescent="0.2">
      <c r="A6" s="132"/>
      <c r="B6" s="261"/>
      <c r="C6" s="261"/>
      <c r="D6" s="261"/>
      <c r="E6" s="262"/>
      <c r="F6" s="136"/>
      <c r="G6" s="263"/>
      <c r="H6" s="263"/>
      <c r="I6" s="136"/>
      <c r="J6" s="264"/>
      <c r="AM6" s="72"/>
      <c r="AN6" s="77"/>
      <c r="AO6" s="77"/>
      <c r="AP6" s="72"/>
      <c r="AQ6" s="72"/>
      <c r="AR6" s="72"/>
      <c r="AS6" s="72"/>
      <c r="AT6" s="72"/>
      <c r="AU6" s="77"/>
      <c r="AV6" s="77"/>
      <c r="AW6" s="77"/>
      <c r="AX6" s="77"/>
      <c r="AY6" s="77"/>
      <c r="AZ6" s="77"/>
      <c r="BA6" s="149"/>
      <c r="BB6" s="150"/>
      <c r="BC6" s="149"/>
      <c r="BD6" s="72"/>
      <c r="BE6" s="72"/>
    </row>
    <row r="7" spans="1:57" s="266" customFormat="1" ht="28.5" customHeight="1" x14ac:dyDescent="0.2">
      <c r="A7" s="265"/>
      <c r="B7" s="764" t="s">
        <v>91</v>
      </c>
      <c r="C7" s="765"/>
      <c r="D7" s="765"/>
      <c r="E7" s="765"/>
      <c r="F7" s="765"/>
      <c r="G7" s="765"/>
      <c r="H7" s="766"/>
      <c r="I7" s="762" t="s">
        <v>57</v>
      </c>
      <c r="J7" s="763"/>
      <c r="K7" s="762" t="s">
        <v>58</v>
      </c>
      <c r="L7" s="763"/>
      <c r="M7" s="762" t="s">
        <v>59</v>
      </c>
      <c r="N7" s="763"/>
      <c r="O7" s="762" t="s">
        <v>60</v>
      </c>
      <c r="P7" s="763"/>
      <c r="Q7" s="762" t="s">
        <v>61</v>
      </c>
      <c r="R7" s="763"/>
      <c r="S7" s="569" t="s">
        <v>148</v>
      </c>
      <c r="T7" s="569" t="s">
        <v>149</v>
      </c>
      <c r="U7" s="569" t="s">
        <v>150</v>
      </c>
      <c r="V7" s="569" t="s">
        <v>151</v>
      </c>
      <c r="W7" s="569" t="s">
        <v>152</v>
      </c>
      <c r="AI7" s="267"/>
      <c r="AJ7" s="267"/>
      <c r="AK7" s="267"/>
      <c r="AL7" s="268"/>
      <c r="AM7" s="268"/>
      <c r="AN7" s="268"/>
      <c r="AO7" s="268"/>
      <c r="AP7" s="268"/>
      <c r="AQ7" s="268"/>
      <c r="AR7" s="268"/>
      <c r="AS7" s="268"/>
      <c r="AT7" s="269">
        <f>INDEX(AT10:AT21,MATCH(D3,AS10:AS21,),)</f>
        <v>0</v>
      </c>
      <c r="AU7" s="269">
        <f>INDEX(AU10:AU21,MATCH(D3,AS10:AS21,),)</f>
        <v>0</v>
      </c>
      <c r="AV7" s="269"/>
      <c r="AW7" s="269"/>
      <c r="AX7" s="269"/>
      <c r="AY7" s="270">
        <f>D2</f>
        <v>2017</v>
      </c>
    </row>
    <row r="8" spans="1:57" s="184" customFormat="1" ht="22.5" x14ac:dyDescent="0.2">
      <c r="A8" s="271"/>
      <c r="B8" s="272">
        <f>IF(D2="","",D2)</f>
        <v>2017</v>
      </c>
      <c r="C8" s="759" t="s">
        <v>55</v>
      </c>
      <c r="D8" s="760"/>
      <c r="E8" s="273" t="s">
        <v>16</v>
      </c>
      <c r="F8" s="761" t="s">
        <v>31</v>
      </c>
      <c r="G8" s="760"/>
      <c r="H8" s="274" t="s">
        <v>71</v>
      </c>
      <c r="I8" s="275" t="s">
        <v>43</v>
      </c>
      <c r="J8" s="276" t="s">
        <v>16</v>
      </c>
      <c r="K8" s="275" t="s">
        <v>43</v>
      </c>
      <c r="L8" s="276" t="s">
        <v>16</v>
      </c>
      <c r="M8" s="275" t="s">
        <v>43</v>
      </c>
      <c r="N8" s="276" t="s">
        <v>16</v>
      </c>
      <c r="O8" s="275" t="s">
        <v>43</v>
      </c>
      <c r="P8" s="276" t="s">
        <v>16</v>
      </c>
      <c r="Q8" s="275" t="s">
        <v>43</v>
      </c>
      <c r="R8" s="277" t="s">
        <v>16</v>
      </c>
      <c r="S8" s="278" t="s">
        <v>15</v>
      </c>
      <c r="T8" s="279" t="s">
        <v>15</v>
      </c>
      <c r="U8" s="279" t="s">
        <v>15</v>
      </c>
      <c r="V8" s="279" t="s">
        <v>15</v>
      </c>
      <c r="W8" s="279" t="s">
        <v>15</v>
      </c>
      <c r="AI8" s="280" t="s">
        <v>50</v>
      </c>
      <c r="AJ8" s="280" t="s">
        <v>51</v>
      </c>
      <c r="AK8" s="280" t="s">
        <v>52</v>
      </c>
      <c r="AL8" s="280" t="s">
        <v>53</v>
      </c>
      <c r="AM8" s="280" t="s">
        <v>54</v>
      </c>
      <c r="AN8" s="280" t="s">
        <v>50</v>
      </c>
      <c r="AO8" s="280" t="s">
        <v>51</v>
      </c>
      <c r="AP8" s="280" t="s">
        <v>52</v>
      </c>
      <c r="AQ8" s="280" t="s">
        <v>53</v>
      </c>
      <c r="AR8" s="280" t="s">
        <v>54</v>
      </c>
      <c r="AS8" s="280" t="s">
        <v>69</v>
      </c>
      <c r="AT8" s="280" t="s">
        <v>79</v>
      </c>
      <c r="AU8" s="280" t="s">
        <v>76</v>
      </c>
      <c r="AV8" s="280"/>
      <c r="AW8" s="280"/>
      <c r="AX8" s="280"/>
      <c r="AY8" s="280"/>
    </row>
    <row r="9" spans="1:57" s="155" customFormat="1" ht="11.25" x14ac:dyDescent="0.2">
      <c r="A9" s="281"/>
      <c r="B9" s="282"/>
      <c r="C9" s="194" t="s">
        <v>42</v>
      </c>
      <c r="D9" s="195" t="s">
        <v>13</v>
      </c>
      <c r="E9" s="195" t="str">
        <f>"["&amp;Start!$O$7&amp;"]"</f>
        <v>[$]</v>
      </c>
      <c r="F9" s="195" t="str">
        <f>"["&amp;Start!$O$7&amp;"/l]"</f>
        <v>[$/l]</v>
      </c>
      <c r="G9" s="195" t="str">
        <f>"["&amp;Start!$O$7&amp;"/kWh]"</f>
        <v>[$/kWh]</v>
      </c>
      <c r="H9" s="196" t="s">
        <v>203</v>
      </c>
      <c r="I9" s="194" t="s">
        <v>42</v>
      </c>
      <c r="J9" s="195" t="str">
        <f>"["&amp;Start!$O$7&amp;"]"</f>
        <v>[$]</v>
      </c>
      <c r="K9" s="194" t="s">
        <v>42</v>
      </c>
      <c r="L9" s="195" t="str">
        <f>"["&amp;Start!$O$7&amp;"]"</f>
        <v>[$]</v>
      </c>
      <c r="M9" s="194" t="s">
        <v>42</v>
      </c>
      <c r="N9" s="195" t="str">
        <f>"["&amp;Start!$O$7&amp;"]"</f>
        <v>[$]</v>
      </c>
      <c r="O9" s="194" t="s">
        <v>42</v>
      </c>
      <c r="P9" s="195" t="str">
        <f>"["&amp;Start!$O$7&amp;"]"</f>
        <v>[$]</v>
      </c>
      <c r="Q9" s="194" t="s">
        <v>42</v>
      </c>
      <c r="R9" s="283" t="str">
        <f>"["&amp;Start!$O$7&amp;"]"</f>
        <v>[$]</v>
      </c>
      <c r="S9" s="284" t="str">
        <f>"["&amp;Start!$O$7&amp;"/l]"</f>
        <v>[$/l]</v>
      </c>
      <c r="T9" s="196" t="str">
        <f>"["&amp;Start!$O$7&amp;"/l]"</f>
        <v>[$/l]</v>
      </c>
      <c r="U9" s="196" t="str">
        <f>"["&amp;Start!$O$7&amp;"/l]"</f>
        <v>[$/l]</v>
      </c>
      <c r="V9" s="196" t="str">
        <f>"["&amp;Start!$O$7&amp;"/l]"</f>
        <v>[$/l]</v>
      </c>
      <c r="W9" s="196" t="str">
        <f>"["&amp;Start!$O$7&amp;"/l]"</f>
        <v>[$/l]</v>
      </c>
      <c r="AI9" s="285"/>
      <c r="AJ9" s="285"/>
      <c r="AK9" s="285"/>
      <c r="AL9" s="285"/>
      <c r="AM9" s="285"/>
      <c r="AN9" s="285"/>
      <c r="AO9" s="285"/>
      <c r="AP9" s="285"/>
      <c r="AQ9" s="285"/>
      <c r="AR9" s="285"/>
      <c r="AS9" s="285"/>
      <c r="AT9" s="285" t="s">
        <v>70</v>
      </c>
      <c r="AU9" s="285" t="s">
        <v>77</v>
      </c>
      <c r="AV9" s="285"/>
      <c r="AW9" s="285"/>
      <c r="AX9" s="285"/>
      <c r="AY9" s="285"/>
    </row>
    <row r="10" spans="1:57" ht="14.25" customHeight="1" x14ac:dyDescent="0.2">
      <c r="A10" s="132" t="str">
        <f>B10&amp;$D$2</f>
        <v>Jan2017</v>
      </c>
      <c r="B10" s="199" t="s">
        <v>0</v>
      </c>
      <c r="C10" s="286">
        <f t="shared" ref="C10:C21" si="0">I10+K10+M10+O10+Q10</f>
        <v>0</v>
      </c>
      <c r="D10" s="287">
        <f>C10*AT7</f>
        <v>0</v>
      </c>
      <c r="E10" s="288">
        <f t="shared" ref="E10:E21" si="1">J10+L10+N10+P10+R10</f>
        <v>0</v>
      </c>
      <c r="F10" s="289" t="str">
        <f t="shared" ref="F10:F21" si="2">IF(E10=0,"",E10/C10)</f>
        <v/>
      </c>
      <c r="G10" s="289" t="str">
        <f>IF(E10=0,"",E10/D10)</f>
        <v/>
      </c>
      <c r="H10" s="290">
        <f>D10*AU7</f>
        <v>0</v>
      </c>
      <c r="I10" s="5"/>
      <c r="J10" s="3"/>
      <c r="K10" s="5"/>
      <c r="L10" s="3"/>
      <c r="M10" s="5"/>
      <c r="N10" s="3"/>
      <c r="O10" s="5"/>
      <c r="P10" s="3"/>
      <c r="Q10" s="5"/>
      <c r="R10" s="10"/>
      <c r="S10" s="291" t="str">
        <f t="shared" ref="S10:S21" si="3">IF(J10="","",J10/I10)</f>
        <v/>
      </c>
      <c r="T10" s="292" t="str">
        <f t="shared" ref="T10:T21" si="4">IF(L10="","",L10/K10)</f>
        <v/>
      </c>
      <c r="U10" s="292" t="str">
        <f t="shared" ref="U10:U21" si="5">IF(N10="","",N10/M10)</f>
        <v/>
      </c>
      <c r="V10" s="292" t="str">
        <f t="shared" ref="V10:V21" si="6">IF(P10="","",P10/O10)</f>
        <v/>
      </c>
      <c r="W10" s="292" t="str">
        <f t="shared" ref="W10:W21" si="7">IF(R10="","",R10/Q10)</f>
        <v/>
      </c>
      <c r="AI10" s="293">
        <f t="shared" ref="AI10:AI21" si="8">J10</f>
        <v>0</v>
      </c>
      <c r="AJ10" s="293">
        <f t="shared" ref="AJ10:AJ21" si="9">L10</f>
        <v>0</v>
      </c>
      <c r="AK10" s="293">
        <f t="shared" ref="AK10:AK21" si="10">N10</f>
        <v>0</v>
      </c>
      <c r="AL10" s="293">
        <f t="shared" ref="AL10:AL21" si="11">P10</f>
        <v>0</v>
      </c>
      <c r="AM10" s="293">
        <f t="shared" ref="AM10:AM21" si="12">R10</f>
        <v>0</v>
      </c>
      <c r="AN10" s="293">
        <f t="shared" ref="AN10:AN21" si="13">I10</f>
        <v>0</v>
      </c>
      <c r="AO10" s="293">
        <f t="shared" ref="AO10:AO21" si="14">K10</f>
        <v>0</v>
      </c>
      <c r="AP10" s="293">
        <f t="shared" ref="AP10:AP21" si="15">M10</f>
        <v>0</v>
      </c>
      <c r="AQ10" s="293">
        <f t="shared" ref="AQ10:AQ21" si="16">O10</f>
        <v>0</v>
      </c>
      <c r="AR10" s="293">
        <f t="shared" ref="AR10:AR21" si="17">Q10</f>
        <v>0</v>
      </c>
      <c r="AS10" s="293" t="str">
        <f>Start!D24</f>
        <v>Heating &amp; Other Gasoil</v>
      </c>
      <c r="AT10" s="294">
        <f>Start!F24</f>
        <v>0</v>
      </c>
      <c r="AU10" s="295">
        <f>J3</f>
        <v>0</v>
      </c>
      <c r="AV10" s="295"/>
      <c r="AW10" s="295"/>
      <c r="AX10" s="295"/>
      <c r="AY10" s="293"/>
    </row>
    <row r="11" spans="1:57" ht="14.25" customHeight="1" x14ac:dyDescent="0.2">
      <c r="A11" s="132" t="str">
        <f t="shared" ref="A11:A21" si="18">B11&amp;$D$2</f>
        <v>Feb2017</v>
      </c>
      <c r="B11" s="199" t="s">
        <v>1</v>
      </c>
      <c r="C11" s="286">
        <f t="shared" si="0"/>
        <v>0</v>
      </c>
      <c r="D11" s="287">
        <f>C11*AT7</f>
        <v>0</v>
      </c>
      <c r="E11" s="288">
        <f t="shared" si="1"/>
        <v>0</v>
      </c>
      <c r="F11" s="289" t="str">
        <f t="shared" si="2"/>
        <v/>
      </c>
      <c r="G11" s="289" t="str">
        <f t="shared" ref="G11:G21" si="19">IF(E11=0,"",E11/D11)</f>
        <v/>
      </c>
      <c r="H11" s="290">
        <f>D11*AU7</f>
        <v>0</v>
      </c>
      <c r="I11" s="5"/>
      <c r="J11" s="3"/>
      <c r="K11" s="5"/>
      <c r="L11" s="3"/>
      <c r="M11" s="5"/>
      <c r="N11" s="3"/>
      <c r="O11" s="5"/>
      <c r="P11" s="3"/>
      <c r="Q11" s="5"/>
      <c r="R11" s="10"/>
      <c r="S11" s="291" t="str">
        <f t="shared" si="3"/>
        <v/>
      </c>
      <c r="T11" s="292" t="str">
        <f t="shared" si="4"/>
        <v/>
      </c>
      <c r="U11" s="292" t="str">
        <f t="shared" si="5"/>
        <v/>
      </c>
      <c r="V11" s="292" t="str">
        <f t="shared" si="6"/>
        <v/>
      </c>
      <c r="W11" s="292" t="str">
        <f t="shared" si="7"/>
        <v/>
      </c>
      <c r="AI11" s="293">
        <f t="shared" si="8"/>
        <v>0</v>
      </c>
      <c r="AJ11" s="293">
        <f t="shared" si="9"/>
        <v>0</v>
      </c>
      <c r="AK11" s="293">
        <f t="shared" si="10"/>
        <v>0</v>
      </c>
      <c r="AL11" s="293">
        <f t="shared" si="11"/>
        <v>0</v>
      </c>
      <c r="AM11" s="293">
        <f t="shared" si="12"/>
        <v>0</v>
      </c>
      <c r="AN11" s="293">
        <f t="shared" si="13"/>
        <v>0</v>
      </c>
      <c r="AO11" s="293">
        <f t="shared" si="14"/>
        <v>0</v>
      </c>
      <c r="AP11" s="293">
        <f t="shared" si="15"/>
        <v>0</v>
      </c>
      <c r="AQ11" s="293">
        <f t="shared" si="16"/>
        <v>0</v>
      </c>
      <c r="AR11" s="293">
        <f t="shared" si="17"/>
        <v>0</v>
      </c>
      <c r="AS11" s="293" t="str">
        <f>Start!D25</f>
        <v>Kerosene</v>
      </c>
      <c r="AT11" s="294">
        <f>Start!F25</f>
        <v>0</v>
      </c>
      <c r="AU11" s="295">
        <f>J4</f>
        <v>0</v>
      </c>
      <c r="AV11" s="295"/>
      <c r="AW11" s="295"/>
      <c r="AX11" s="295"/>
      <c r="AY11" s="293"/>
    </row>
    <row r="12" spans="1:57" ht="14.25" customHeight="1" x14ac:dyDescent="0.2">
      <c r="A12" s="132" t="str">
        <f t="shared" si="18"/>
        <v>Mar2017</v>
      </c>
      <c r="B12" s="199" t="s">
        <v>2</v>
      </c>
      <c r="C12" s="286">
        <f t="shared" si="0"/>
        <v>0</v>
      </c>
      <c r="D12" s="287">
        <f>C12*AT7</f>
        <v>0</v>
      </c>
      <c r="E12" s="288">
        <f t="shared" si="1"/>
        <v>0</v>
      </c>
      <c r="F12" s="289" t="str">
        <f t="shared" si="2"/>
        <v/>
      </c>
      <c r="G12" s="289" t="str">
        <f t="shared" si="19"/>
        <v/>
      </c>
      <c r="H12" s="290">
        <f>D12*AU7</f>
        <v>0</v>
      </c>
      <c r="I12" s="5"/>
      <c r="J12" s="3"/>
      <c r="K12" s="5"/>
      <c r="L12" s="3"/>
      <c r="M12" s="5"/>
      <c r="N12" s="3"/>
      <c r="O12" s="5"/>
      <c r="P12" s="3"/>
      <c r="Q12" s="5"/>
      <c r="R12" s="10"/>
      <c r="S12" s="291" t="str">
        <f t="shared" si="3"/>
        <v/>
      </c>
      <c r="T12" s="292" t="str">
        <f t="shared" si="4"/>
        <v/>
      </c>
      <c r="U12" s="292" t="str">
        <f t="shared" si="5"/>
        <v/>
      </c>
      <c r="V12" s="292" t="str">
        <f t="shared" si="6"/>
        <v/>
      </c>
      <c r="W12" s="292" t="str">
        <f t="shared" si="7"/>
        <v/>
      </c>
      <c r="AI12" s="293">
        <f t="shared" si="8"/>
        <v>0</v>
      </c>
      <c r="AJ12" s="293">
        <f t="shared" si="9"/>
        <v>0</v>
      </c>
      <c r="AK12" s="293">
        <f t="shared" si="10"/>
        <v>0</v>
      </c>
      <c r="AL12" s="293">
        <f t="shared" si="11"/>
        <v>0</v>
      </c>
      <c r="AM12" s="293">
        <f t="shared" si="12"/>
        <v>0</v>
      </c>
      <c r="AN12" s="293">
        <f t="shared" si="13"/>
        <v>0</v>
      </c>
      <c r="AO12" s="293">
        <f t="shared" si="14"/>
        <v>0</v>
      </c>
      <c r="AP12" s="293">
        <f t="shared" si="15"/>
        <v>0</v>
      </c>
      <c r="AQ12" s="293">
        <f t="shared" si="16"/>
        <v>0</v>
      </c>
      <c r="AR12" s="293">
        <f t="shared" si="17"/>
        <v>0</v>
      </c>
      <c r="AS12" s="293" t="str">
        <f>Start!D26</f>
        <v>Fuel Oil</v>
      </c>
      <c r="AT12" s="294">
        <f>Start!F26</f>
        <v>0</v>
      </c>
      <c r="AU12" s="295">
        <f>J5</f>
        <v>0</v>
      </c>
      <c r="AV12" s="295"/>
      <c r="AW12" s="295"/>
      <c r="AX12" s="295"/>
      <c r="AY12" s="293"/>
    </row>
    <row r="13" spans="1:57" ht="14.25" customHeight="1" x14ac:dyDescent="0.2">
      <c r="A13" s="132" t="str">
        <f t="shared" si="18"/>
        <v>Apr2017</v>
      </c>
      <c r="B13" s="199" t="s">
        <v>3</v>
      </c>
      <c r="C13" s="286">
        <f t="shared" si="0"/>
        <v>0</v>
      </c>
      <c r="D13" s="287">
        <f>C13*AT7</f>
        <v>0</v>
      </c>
      <c r="E13" s="288">
        <f t="shared" si="1"/>
        <v>0</v>
      </c>
      <c r="F13" s="289" t="str">
        <f t="shared" si="2"/>
        <v/>
      </c>
      <c r="G13" s="289" t="str">
        <f t="shared" si="19"/>
        <v/>
      </c>
      <c r="H13" s="290">
        <f>D13*AU7</f>
        <v>0</v>
      </c>
      <c r="I13" s="5"/>
      <c r="J13" s="3"/>
      <c r="K13" s="5"/>
      <c r="L13" s="3"/>
      <c r="M13" s="5"/>
      <c r="N13" s="3"/>
      <c r="O13" s="5"/>
      <c r="P13" s="3"/>
      <c r="Q13" s="5"/>
      <c r="R13" s="10"/>
      <c r="S13" s="291" t="str">
        <f t="shared" si="3"/>
        <v/>
      </c>
      <c r="T13" s="292" t="str">
        <f t="shared" si="4"/>
        <v/>
      </c>
      <c r="U13" s="292" t="str">
        <f t="shared" si="5"/>
        <v/>
      </c>
      <c r="V13" s="292" t="str">
        <f t="shared" si="6"/>
        <v/>
      </c>
      <c r="W13" s="292" t="str">
        <f t="shared" si="7"/>
        <v/>
      </c>
      <c r="AI13" s="293">
        <f t="shared" si="8"/>
        <v>0</v>
      </c>
      <c r="AJ13" s="293">
        <f t="shared" si="9"/>
        <v>0</v>
      </c>
      <c r="AK13" s="293">
        <f t="shared" si="10"/>
        <v>0</v>
      </c>
      <c r="AL13" s="293">
        <f t="shared" si="11"/>
        <v>0</v>
      </c>
      <c r="AM13" s="293">
        <f t="shared" si="12"/>
        <v>0</v>
      </c>
      <c r="AN13" s="293">
        <f t="shared" si="13"/>
        <v>0</v>
      </c>
      <c r="AO13" s="293">
        <f t="shared" si="14"/>
        <v>0</v>
      </c>
      <c r="AP13" s="293">
        <f t="shared" si="15"/>
        <v>0</v>
      </c>
      <c r="AQ13" s="293">
        <f t="shared" si="16"/>
        <v>0</v>
      </c>
      <c r="AR13" s="293">
        <f t="shared" si="17"/>
        <v>0</v>
      </c>
      <c r="AS13" s="293">
        <v>0</v>
      </c>
      <c r="AT13" s="293"/>
      <c r="AU13" s="293"/>
      <c r="AV13" s="293"/>
      <c r="AW13" s="293"/>
      <c r="AX13" s="293"/>
      <c r="AY13" s="293"/>
    </row>
    <row r="14" spans="1:57" ht="14.25" customHeight="1" x14ac:dyDescent="0.2">
      <c r="A14" s="132" t="str">
        <f t="shared" si="18"/>
        <v>May2017</v>
      </c>
      <c r="B14" s="199" t="s">
        <v>4</v>
      </c>
      <c r="C14" s="286">
        <f t="shared" si="0"/>
        <v>0</v>
      </c>
      <c r="D14" s="287">
        <f>C14*AT7</f>
        <v>0</v>
      </c>
      <c r="E14" s="288">
        <f t="shared" si="1"/>
        <v>0</v>
      </c>
      <c r="F14" s="289" t="str">
        <f t="shared" si="2"/>
        <v/>
      </c>
      <c r="G14" s="289" t="str">
        <f t="shared" si="19"/>
        <v/>
      </c>
      <c r="H14" s="290">
        <f>D14*AU7</f>
        <v>0</v>
      </c>
      <c r="I14" s="5"/>
      <c r="J14" s="3"/>
      <c r="K14" s="5"/>
      <c r="L14" s="3"/>
      <c r="M14" s="5"/>
      <c r="N14" s="3"/>
      <c r="O14" s="5"/>
      <c r="P14" s="3"/>
      <c r="Q14" s="5"/>
      <c r="R14" s="10"/>
      <c r="S14" s="291" t="str">
        <f t="shared" si="3"/>
        <v/>
      </c>
      <c r="T14" s="292" t="str">
        <f t="shared" si="4"/>
        <v/>
      </c>
      <c r="U14" s="292" t="str">
        <f t="shared" si="5"/>
        <v/>
      </c>
      <c r="V14" s="292" t="str">
        <f t="shared" si="6"/>
        <v/>
      </c>
      <c r="W14" s="292" t="str">
        <f t="shared" si="7"/>
        <v/>
      </c>
      <c r="AI14" s="293">
        <f t="shared" si="8"/>
        <v>0</v>
      </c>
      <c r="AJ14" s="293">
        <f t="shared" si="9"/>
        <v>0</v>
      </c>
      <c r="AK14" s="293">
        <f t="shared" si="10"/>
        <v>0</v>
      </c>
      <c r="AL14" s="293">
        <f t="shared" si="11"/>
        <v>0</v>
      </c>
      <c r="AM14" s="293">
        <f t="shared" si="12"/>
        <v>0</v>
      </c>
      <c r="AN14" s="293">
        <f t="shared" si="13"/>
        <v>0</v>
      </c>
      <c r="AO14" s="293">
        <f t="shared" si="14"/>
        <v>0</v>
      </c>
      <c r="AP14" s="293">
        <f t="shared" si="15"/>
        <v>0</v>
      </c>
      <c r="AQ14" s="293">
        <f t="shared" si="16"/>
        <v>0</v>
      </c>
      <c r="AR14" s="293">
        <f t="shared" si="17"/>
        <v>0</v>
      </c>
      <c r="AS14" s="293">
        <v>0</v>
      </c>
      <c r="AT14" s="293"/>
      <c r="AU14" s="293"/>
      <c r="AV14" s="293"/>
      <c r="AW14" s="293"/>
      <c r="AX14" s="293"/>
      <c r="AY14" s="293"/>
    </row>
    <row r="15" spans="1:57" ht="14.25" customHeight="1" x14ac:dyDescent="0.2">
      <c r="A15" s="132" t="str">
        <f t="shared" si="18"/>
        <v>Jun2017</v>
      </c>
      <c r="B15" s="199" t="s">
        <v>5</v>
      </c>
      <c r="C15" s="286">
        <f t="shared" si="0"/>
        <v>0</v>
      </c>
      <c r="D15" s="287">
        <f>C15*AT7</f>
        <v>0</v>
      </c>
      <c r="E15" s="288">
        <f t="shared" si="1"/>
        <v>0</v>
      </c>
      <c r="F15" s="289" t="str">
        <f t="shared" si="2"/>
        <v/>
      </c>
      <c r="G15" s="289" t="str">
        <f t="shared" si="19"/>
        <v/>
      </c>
      <c r="H15" s="290">
        <f>D15*AU7</f>
        <v>0</v>
      </c>
      <c r="I15" s="5"/>
      <c r="J15" s="3"/>
      <c r="K15" s="5"/>
      <c r="L15" s="3"/>
      <c r="M15" s="5"/>
      <c r="N15" s="3"/>
      <c r="O15" s="5"/>
      <c r="P15" s="3"/>
      <c r="Q15" s="5"/>
      <c r="R15" s="10"/>
      <c r="S15" s="291" t="str">
        <f t="shared" si="3"/>
        <v/>
      </c>
      <c r="T15" s="292" t="str">
        <f t="shared" si="4"/>
        <v/>
      </c>
      <c r="U15" s="292" t="str">
        <f t="shared" si="5"/>
        <v/>
      </c>
      <c r="V15" s="292" t="str">
        <f t="shared" si="6"/>
        <v/>
      </c>
      <c r="W15" s="292" t="str">
        <f t="shared" si="7"/>
        <v/>
      </c>
      <c r="AI15" s="293">
        <f t="shared" si="8"/>
        <v>0</v>
      </c>
      <c r="AJ15" s="293">
        <f t="shared" si="9"/>
        <v>0</v>
      </c>
      <c r="AK15" s="293">
        <f t="shared" si="10"/>
        <v>0</v>
      </c>
      <c r="AL15" s="293">
        <f t="shared" si="11"/>
        <v>0</v>
      </c>
      <c r="AM15" s="293">
        <f t="shared" si="12"/>
        <v>0</v>
      </c>
      <c r="AN15" s="293">
        <f t="shared" si="13"/>
        <v>0</v>
      </c>
      <c r="AO15" s="293">
        <f t="shared" si="14"/>
        <v>0</v>
      </c>
      <c r="AP15" s="293">
        <f t="shared" si="15"/>
        <v>0</v>
      </c>
      <c r="AQ15" s="293">
        <f t="shared" si="16"/>
        <v>0</v>
      </c>
      <c r="AR15" s="293">
        <f t="shared" si="17"/>
        <v>0</v>
      </c>
      <c r="AS15" s="293">
        <v>0</v>
      </c>
      <c r="AT15" s="293"/>
      <c r="AU15" s="293"/>
      <c r="AV15" s="293"/>
      <c r="AW15" s="293"/>
      <c r="AX15" s="293"/>
      <c r="AY15" s="293"/>
    </row>
    <row r="16" spans="1:57" ht="14.25" customHeight="1" x14ac:dyDescent="0.2">
      <c r="A16" s="132" t="str">
        <f t="shared" si="18"/>
        <v>Jul2017</v>
      </c>
      <c r="B16" s="199" t="s">
        <v>6</v>
      </c>
      <c r="C16" s="286">
        <f t="shared" si="0"/>
        <v>0</v>
      </c>
      <c r="D16" s="287">
        <f>C16*AT7</f>
        <v>0</v>
      </c>
      <c r="E16" s="288">
        <f t="shared" si="1"/>
        <v>0</v>
      </c>
      <c r="F16" s="289" t="str">
        <f t="shared" si="2"/>
        <v/>
      </c>
      <c r="G16" s="289" t="str">
        <f t="shared" si="19"/>
        <v/>
      </c>
      <c r="H16" s="290">
        <f>D16*AU7</f>
        <v>0</v>
      </c>
      <c r="I16" s="5"/>
      <c r="J16" s="3"/>
      <c r="K16" s="5"/>
      <c r="L16" s="3"/>
      <c r="M16" s="5"/>
      <c r="N16" s="3"/>
      <c r="O16" s="5"/>
      <c r="P16" s="3"/>
      <c r="Q16" s="5"/>
      <c r="R16" s="10"/>
      <c r="S16" s="291" t="str">
        <f t="shared" si="3"/>
        <v/>
      </c>
      <c r="T16" s="292" t="str">
        <f t="shared" si="4"/>
        <v/>
      </c>
      <c r="U16" s="292" t="str">
        <f t="shared" si="5"/>
        <v/>
      </c>
      <c r="V16" s="292" t="str">
        <f t="shared" si="6"/>
        <v/>
      </c>
      <c r="W16" s="292" t="str">
        <f t="shared" si="7"/>
        <v/>
      </c>
      <c r="AI16" s="293">
        <f t="shared" si="8"/>
        <v>0</v>
      </c>
      <c r="AJ16" s="293">
        <f t="shared" si="9"/>
        <v>0</v>
      </c>
      <c r="AK16" s="293">
        <f t="shared" si="10"/>
        <v>0</v>
      </c>
      <c r="AL16" s="293">
        <f t="shared" si="11"/>
        <v>0</v>
      </c>
      <c r="AM16" s="293">
        <f t="shared" si="12"/>
        <v>0</v>
      </c>
      <c r="AN16" s="293">
        <f t="shared" si="13"/>
        <v>0</v>
      </c>
      <c r="AO16" s="293">
        <f t="shared" si="14"/>
        <v>0</v>
      </c>
      <c r="AP16" s="293">
        <f t="shared" si="15"/>
        <v>0</v>
      </c>
      <c r="AQ16" s="293">
        <f t="shared" si="16"/>
        <v>0</v>
      </c>
      <c r="AR16" s="293">
        <f t="shared" si="17"/>
        <v>0</v>
      </c>
      <c r="AS16" s="293">
        <v>0</v>
      </c>
      <c r="AT16" s="293"/>
      <c r="AU16" s="293"/>
      <c r="AV16" s="293"/>
      <c r="AW16" s="293"/>
      <c r="AX16" s="293"/>
      <c r="AY16" s="293"/>
    </row>
    <row r="17" spans="1:51" ht="14.25" customHeight="1" x14ac:dyDescent="0.2">
      <c r="A17" s="132" t="str">
        <f t="shared" si="18"/>
        <v>Aug2017</v>
      </c>
      <c r="B17" s="199" t="s">
        <v>7</v>
      </c>
      <c r="C17" s="286">
        <f t="shared" si="0"/>
        <v>0</v>
      </c>
      <c r="D17" s="287">
        <f>C17*AT7</f>
        <v>0</v>
      </c>
      <c r="E17" s="288">
        <f t="shared" si="1"/>
        <v>0</v>
      </c>
      <c r="F17" s="289" t="str">
        <f t="shared" si="2"/>
        <v/>
      </c>
      <c r="G17" s="289" t="str">
        <f t="shared" si="19"/>
        <v/>
      </c>
      <c r="H17" s="290">
        <f>D17*AU7</f>
        <v>0</v>
      </c>
      <c r="I17" s="5"/>
      <c r="J17" s="3"/>
      <c r="K17" s="5"/>
      <c r="L17" s="3"/>
      <c r="M17" s="5"/>
      <c r="N17" s="3"/>
      <c r="O17" s="5"/>
      <c r="P17" s="3"/>
      <c r="Q17" s="5"/>
      <c r="R17" s="10"/>
      <c r="S17" s="291" t="str">
        <f t="shared" si="3"/>
        <v/>
      </c>
      <c r="T17" s="292" t="str">
        <f t="shared" si="4"/>
        <v/>
      </c>
      <c r="U17" s="292" t="str">
        <f t="shared" si="5"/>
        <v/>
      </c>
      <c r="V17" s="292" t="str">
        <f t="shared" si="6"/>
        <v/>
      </c>
      <c r="W17" s="292" t="str">
        <f t="shared" si="7"/>
        <v/>
      </c>
      <c r="AI17" s="293">
        <f t="shared" si="8"/>
        <v>0</v>
      </c>
      <c r="AJ17" s="293">
        <f t="shared" si="9"/>
        <v>0</v>
      </c>
      <c r="AK17" s="293">
        <f t="shared" si="10"/>
        <v>0</v>
      </c>
      <c r="AL17" s="293">
        <f t="shared" si="11"/>
        <v>0</v>
      </c>
      <c r="AM17" s="293">
        <f t="shared" si="12"/>
        <v>0</v>
      </c>
      <c r="AN17" s="293">
        <f t="shared" si="13"/>
        <v>0</v>
      </c>
      <c r="AO17" s="293">
        <f t="shared" si="14"/>
        <v>0</v>
      </c>
      <c r="AP17" s="293">
        <f t="shared" si="15"/>
        <v>0</v>
      </c>
      <c r="AQ17" s="293">
        <f t="shared" si="16"/>
        <v>0</v>
      </c>
      <c r="AR17" s="293">
        <f t="shared" si="17"/>
        <v>0</v>
      </c>
      <c r="AS17" s="293">
        <v>0</v>
      </c>
      <c r="AT17" s="293"/>
      <c r="AU17" s="293"/>
      <c r="AV17" s="293"/>
      <c r="AW17" s="293"/>
      <c r="AX17" s="293"/>
      <c r="AY17" s="293"/>
    </row>
    <row r="18" spans="1:51" ht="14.25" customHeight="1" x14ac:dyDescent="0.2">
      <c r="A18" s="132" t="str">
        <f t="shared" si="18"/>
        <v>Sep2017</v>
      </c>
      <c r="B18" s="199" t="s">
        <v>8</v>
      </c>
      <c r="C18" s="286">
        <f t="shared" si="0"/>
        <v>0</v>
      </c>
      <c r="D18" s="287">
        <f>C18*AT7</f>
        <v>0</v>
      </c>
      <c r="E18" s="288">
        <f t="shared" si="1"/>
        <v>0</v>
      </c>
      <c r="F18" s="289" t="str">
        <f t="shared" si="2"/>
        <v/>
      </c>
      <c r="G18" s="289" t="str">
        <f t="shared" si="19"/>
        <v/>
      </c>
      <c r="H18" s="290">
        <f>D18*AU7</f>
        <v>0</v>
      </c>
      <c r="I18" s="5"/>
      <c r="J18" s="3"/>
      <c r="K18" s="5"/>
      <c r="L18" s="3"/>
      <c r="M18" s="5"/>
      <c r="N18" s="3"/>
      <c r="O18" s="5"/>
      <c r="P18" s="3"/>
      <c r="Q18" s="5"/>
      <c r="R18" s="10"/>
      <c r="S18" s="291" t="str">
        <f t="shared" si="3"/>
        <v/>
      </c>
      <c r="T18" s="292" t="str">
        <f t="shared" si="4"/>
        <v/>
      </c>
      <c r="U18" s="292" t="str">
        <f t="shared" si="5"/>
        <v/>
      </c>
      <c r="V18" s="292" t="str">
        <f t="shared" si="6"/>
        <v/>
      </c>
      <c r="W18" s="292" t="str">
        <f t="shared" si="7"/>
        <v/>
      </c>
      <c r="AI18" s="293">
        <f t="shared" si="8"/>
        <v>0</v>
      </c>
      <c r="AJ18" s="293">
        <f t="shared" si="9"/>
        <v>0</v>
      </c>
      <c r="AK18" s="293">
        <f t="shared" si="10"/>
        <v>0</v>
      </c>
      <c r="AL18" s="293">
        <f t="shared" si="11"/>
        <v>0</v>
      </c>
      <c r="AM18" s="293">
        <f t="shared" si="12"/>
        <v>0</v>
      </c>
      <c r="AN18" s="293">
        <f t="shared" si="13"/>
        <v>0</v>
      </c>
      <c r="AO18" s="293">
        <f t="shared" si="14"/>
        <v>0</v>
      </c>
      <c r="AP18" s="293">
        <f t="shared" si="15"/>
        <v>0</v>
      </c>
      <c r="AQ18" s="293">
        <f t="shared" si="16"/>
        <v>0</v>
      </c>
      <c r="AR18" s="293">
        <f t="shared" si="17"/>
        <v>0</v>
      </c>
      <c r="AS18" s="293">
        <v>0</v>
      </c>
      <c r="AT18" s="293"/>
      <c r="AU18" s="293"/>
      <c r="AV18" s="293"/>
      <c r="AW18" s="293"/>
      <c r="AX18" s="293"/>
      <c r="AY18" s="293"/>
    </row>
    <row r="19" spans="1:51" ht="14.25" customHeight="1" x14ac:dyDescent="0.2">
      <c r="A19" s="132" t="str">
        <f t="shared" si="18"/>
        <v>Oct2017</v>
      </c>
      <c r="B19" s="199" t="s">
        <v>9</v>
      </c>
      <c r="C19" s="286">
        <f t="shared" si="0"/>
        <v>0</v>
      </c>
      <c r="D19" s="287">
        <f>C19*AT7</f>
        <v>0</v>
      </c>
      <c r="E19" s="288">
        <f t="shared" si="1"/>
        <v>0</v>
      </c>
      <c r="F19" s="289" t="str">
        <f t="shared" si="2"/>
        <v/>
      </c>
      <c r="G19" s="289" t="str">
        <f t="shared" si="19"/>
        <v/>
      </c>
      <c r="H19" s="290">
        <f>D19*AU7</f>
        <v>0</v>
      </c>
      <c r="I19" s="5"/>
      <c r="J19" s="3"/>
      <c r="K19" s="5"/>
      <c r="L19" s="3"/>
      <c r="M19" s="5"/>
      <c r="N19" s="3"/>
      <c r="O19" s="5"/>
      <c r="P19" s="3"/>
      <c r="Q19" s="5"/>
      <c r="R19" s="10"/>
      <c r="S19" s="291" t="str">
        <f t="shared" si="3"/>
        <v/>
      </c>
      <c r="T19" s="292" t="str">
        <f t="shared" si="4"/>
        <v/>
      </c>
      <c r="U19" s="292" t="str">
        <f t="shared" si="5"/>
        <v/>
      </c>
      <c r="V19" s="292" t="str">
        <f t="shared" si="6"/>
        <v/>
      </c>
      <c r="W19" s="292" t="str">
        <f t="shared" si="7"/>
        <v/>
      </c>
      <c r="AI19" s="293">
        <f t="shared" si="8"/>
        <v>0</v>
      </c>
      <c r="AJ19" s="293">
        <f t="shared" si="9"/>
        <v>0</v>
      </c>
      <c r="AK19" s="293">
        <f t="shared" si="10"/>
        <v>0</v>
      </c>
      <c r="AL19" s="293">
        <f t="shared" si="11"/>
        <v>0</v>
      </c>
      <c r="AM19" s="293">
        <f t="shared" si="12"/>
        <v>0</v>
      </c>
      <c r="AN19" s="293">
        <f t="shared" si="13"/>
        <v>0</v>
      </c>
      <c r="AO19" s="293">
        <f t="shared" si="14"/>
        <v>0</v>
      </c>
      <c r="AP19" s="293">
        <f t="shared" si="15"/>
        <v>0</v>
      </c>
      <c r="AQ19" s="293">
        <f t="shared" si="16"/>
        <v>0</v>
      </c>
      <c r="AR19" s="293">
        <f t="shared" si="17"/>
        <v>0</v>
      </c>
      <c r="AS19" s="293">
        <v>0</v>
      </c>
      <c r="AT19" s="293"/>
      <c r="AU19" s="293"/>
      <c r="AV19" s="293"/>
      <c r="AW19" s="293"/>
      <c r="AX19" s="293"/>
      <c r="AY19" s="293"/>
    </row>
    <row r="20" spans="1:51" ht="14.25" customHeight="1" x14ac:dyDescent="0.2">
      <c r="A20" s="132" t="str">
        <f t="shared" si="18"/>
        <v>Nov2017</v>
      </c>
      <c r="B20" s="199" t="s">
        <v>10</v>
      </c>
      <c r="C20" s="286">
        <f t="shared" si="0"/>
        <v>0</v>
      </c>
      <c r="D20" s="287">
        <f>C20*AT7</f>
        <v>0</v>
      </c>
      <c r="E20" s="288">
        <f t="shared" si="1"/>
        <v>0</v>
      </c>
      <c r="F20" s="289" t="str">
        <f t="shared" si="2"/>
        <v/>
      </c>
      <c r="G20" s="289" t="str">
        <f t="shared" si="19"/>
        <v/>
      </c>
      <c r="H20" s="290">
        <f>D20*AU7</f>
        <v>0</v>
      </c>
      <c r="I20" s="5"/>
      <c r="J20" s="3"/>
      <c r="K20" s="5"/>
      <c r="L20" s="3"/>
      <c r="M20" s="5"/>
      <c r="N20" s="3"/>
      <c r="O20" s="5"/>
      <c r="P20" s="3"/>
      <c r="Q20" s="5"/>
      <c r="R20" s="10"/>
      <c r="S20" s="291" t="str">
        <f t="shared" si="3"/>
        <v/>
      </c>
      <c r="T20" s="292" t="str">
        <f t="shared" si="4"/>
        <v/>
      </c>
      <c r="U20" s="292" t="str">
        <f t="shared" si="5"/>
        <v/>
      </c>
      <c r="V20" s="292" t="str">
        <f t="shared" si="6"/>
        <v/>
      </c>
      <c r="W20" s="292" t="str">
        <f t="shared" si="7"/>
        <v/>
      </c>
      <c r="AI20" s="293">
        <f t="shared" si="8"/>
        <v>0</v>
      </c>
      <c r="AJ20" s="293">
        <f t="shared" si="9"/>
        <v>0</v>
      </c>
      <c r="AK20" s="293">
        <f t="shared" si="10"/>
        <v>0</v>
      </c>
      <c r="AL20" s="293">
        <f t="shared" si="11"/>
        <v>0</v>
      </c>
      <c r="AM20" s="293">
        <f t="shared" si="12"/>
        <v>0</v>
      </c>
      <c r="AN20" s="293">
        <f t="shared" si="13"/>
        <v>0</v>
      </c>
      <c r="AO20" s="293">
        <f t="shared" si="14"/>
        <v>0</v>
      </c>
      <c r="AP20" s="293">
        <f t="shared" si="15"/>
        <v>0</v>
      </c>
      <c r="AQ20" s="293">
        <f t="shared" si="16"/>
        <v>0</v>
      </c>
      <c r="AR20" s="293">
        <f t="shared" si="17"/>
        <v>0</v>
      </c>
      <c r="AS20" s="293">
        <v>0</v>
      </c>
      <c r="AT20" s="293"/>
      <c r="AU20" s="293"/>
      <c r="AV20" s="293"/>
      <c r="AW20" s="293"/>
      <c r="AX20" s="293"/>
      <c r="AY20" s="293"/>
    </row>
    <row r="21" spans="1:51" ht="14.25" customHeight="1" x14ac:dyDescent="0.2">
      <c r="A21" s="132" t="str">
        <f t="shared" si="18"/>
        <v>Dec2017</v>
      </c>
      <c r="B21" s="209" t="s">
        <v>11</v>
      </c>
      <c r="C21" s="296">
        <f t="shared" si="0"/>
        <v>0</v>
      </c>
      <c r="D21" s="297">
        <f>C21*AT7</f>
        <v>0</v>
      </c>
      <c r="E21" s="298">
        <f t="shared" si="1"/>
        <v>0</v>
      </c>
      <c r="F21" s="299" t="str">
        <f t="shared" si="2"/>
        <v/>
      </c>
      <c r="G21" s="289" t="str">
        <f t="shared" si="19"/>
        <v/>
      </c>
      <c r="H21" s="300">
        <f>D21*AU7</f>
        <v>0</v>
      </c>
      <c r="I21" s="6"/>
      <c r="J21" s="3"/>
      <c r="K21" s="6"/>
      <c r="L21" s="7"/>
      <c r="M21" s="6"/>
      <c r="N21" s="7"/>
      <c r="O21" s="6"/>
      <c r="P21" s="7"/>
      <c r="Q21" s="6"/>
      <c r="R21" s="11"/>
      <c r="S21" s="301" t="str">
        <f t="shared" si="3"/>
        <v/>
      </c>
      <c r="T21" s="302" t="str">
        <f t="shared" si="4"/>
        <v/>
      </c>
      <c r="U21" s="302" t="str">
        <f t="shared" si="5"/>
        <v/>
      </c>
      <c r="V21" s="302" t="str">
        <f t="shared" si="6"/>
        <v/>
      </c>
      <c r="W21" s="302" t="str">
        <f t="shared" si="7"/>
        <v/>
      </c>
      <c r="AI21" s="293">
        <f t="shared" si="8"/>
        <v>0</v>
      </c>
      <c r="AJ21" s="293">
        <f t="shared" si="9"/>
        <v>0</v>
      </c>
      <c r="AK21" s="293">
        <f t="shared" si="10"/>
        <v>0</v>
      </c>
      <c r="AL21" s="293">
        <f t="shared" si="11"/>
        <v>0</v>
      </c>
      <c r="AM21" s="293">
        <f t="shared" si="12"/>
        <v>0</v>
      </c>
      <c r="AN21" s="293">
        <f t="shared" si="13"/>
        <v>0</v>
      </c>
      <c r="AO21" s="293">
        <f t="shared" si="14"/>
        <v>0</v>
      </c>
      <c r="AP21" s="293">
        <f t="shared" si="15"/>
        <v>0</v>
      </c>
      <c r="AQ21" s="293">
        <f t="shared" si="16"/>
        <v>0</v>
      </c>
      <c r="AR21" s="293">
        <f t="shared" si="17"/>
        <v>0</v>
      </c>
      <c r="AS21" s="293">
        <v>0</v>
      </c>
      <c r="AT21" s="293"/>
      <c r="AU21" s="293"/>
      <c r="AV21" s="293"/>
      <c r="AW21" s="293"/>
      <c r="AX21" s="293"/>
      <c r="AY21" s="293"/>
    </row>
    <row r="22" spans="1:51" s="308" customFormat="1" ht="14.25" customHeight="1" x14ac:dyDescent="0.2">
      <c r="A22" s="132" t="str">
        <f>B22&amp;A2</f>
        <v>Total</v>
      </c>
      <c r="B22" s="211" t="s">
        <v>23</v>
      </c>
      <c r="C22" s="212">
        <f>SUM(C10:C21)</f>
        <v>0</v>
      </c>
      <c r="D22" s="213">
        <f>SUM(D10:D21)</f>
        <v>0</v>
      </c>
      <c r="E22" s="213">
        <f>SUM(E10:E21)</f>
        <v>0</v>
      </c>
      <c r="F22" s="303" t="str">
        <f>IF(C22=0,"",E22/C22)</f>
        <v/>
      </c>
      <c r="G22" s="303" t="str">
        <f>IF(D22=0,"",E22/D22)</f>
        <v/>
      </c>
      <c r="H22" s="304">
        <f t="shared" ref="H22:R22" si="20">SUM(H10:H21)</f>
        <v>0</v>
      </c>
      <c r="I22" s="212">
        <f t="shared" si="20"/>
        <v>0</v>
      </c>
      <c r="J22" s="213">
        <f t="shared" si="20"/>
        <v>0</v>
      </c>
      <c r="K22" s="212">
        <f t="shared" si="20"/>
        <v>0</v>
      </c>
      <c r="L22" s="213">
        <f t="shared" si="20"/>
        <v>0</v>
      </c>
      <c r="M22" s="212">
        <f t="shared" si="20"/>
        <v>0</v>
      </c>
      <c r="N22" s="213">
        <f t="shared" si="20"/>
        <v>0</v>
      </c>
      <c r="O22" s="212">
        <f t="shared" si="20"/>
        <v>0</v>
      </c>
      <c r="P22" s="213">
        <f t="shared" si="20"/>
        <v>0</v>
      </c>
      <c r="Q22" s="212">
        <f t="shared" si="20"/>
        <v>0</v>
      </c>
      <c r="R22" s="305">
        <f t="shared" si="20"/>
        <v>0</v>
      </c>
      <c r="S22" s="306"/>
      <c r="T22" s="214"/>
      <c r="U22" s="214"/>
      <c r="V22" s="214"/>
      <c r="W22" s="214"/>
      <c r="X22" s="307"/>
      <c r="AG22" s="307"/>
      <c r="AH22" s="307"/>
      <c r="AI22" s="309"/>
      <c r="AJ22" s="309"/>
      <c r="AK22" s="309"/>
      <c r="AL22" s="307"/>
      <c r="AM22" s="307"/>
      <c r="AN22" s="307"/>
      <c r="AO22" s="307"/>
      <c r="AP22" s="307"/>
      <c r="AS22" s="309"/>
      <c r="AT22" s="309"/>
    </row>
    <row r="23" spans="1:51" s="210" customFormat="1" ht="15" customHeight="1" x14ac:dyDescent="0.2">
      <c r="A23" s="132"/>
      <c r="B23" s="56"/>
      <c r="C23" s="57"/>
      <c r="D23" s="57"/>
      <c r="E23" s="57"/>
      <c r="F23" s="58"/>
      <c r="G23" s="310"/>
      <c r="H23" s="310"/>
      <c r="I23" s="310"/>
      <c r="J23" s="310"/>
      <c r="K23" s="310"/>
      <c r="L23" s="310"/>
      <c r="M23" s="310"/>
      <c r="N23" s="310"/>
      <c r="O23" s="310"/>
      <c r="P23" s="310"/>
      <c r="Q23" s="310"/>
      <c r="R23" s="310"/>
      <c r="S23" s="310"/>
      <c r="T23" s="310"/>
      <c r="U23" s="310"/>
      <c r="V23" s="310"/>
      <c r="W23" s="310"/>
      <c r="X23" s="310"/>
      <c r="AG23" s="218"/>
      <c r="AH23" s="218"/>
      <c r="AI23" s="218"/>
      <c r="AJ23" s="218"/>
      <c r="AK23" s="311"/>
      <c r="AL23" s="311"/>
      <c r="AM23" s="311"/>
      <c r="AN23" s="312"/>
      <c r="AO23" s="313"/>
      <c r="AP23" s="313"/>
      <c r="AQ23" s="218"/>
      <c r="AR23" s="218"/>
    </row>
    <row r="24" spans="1:51" x14ac:dyDescent="0.2">
      <c r="B24" s="738" t="s">
        <v>170</v>
      </c>
      <c r="C24" s="739"/>
      <c r="D24" s="739"/>
      <c r="E24" s="739"/>
      <c r="F24" s="740"/>
    </row>
    <row r="25" spans="1:51" x14ac:dyDescent="0.2">
      <c r="B25" s="59"/>
      <c r="C25" s="60"/>
      <c r="D25" s="60"/>
      <c r="E25" s="60"/>
      <c r="F25" s="61"/>
    </row>
    <row r="26" spans="1:51" x14ac:dyDescent="0.2">
      <c r="B26" s="741" t="s">
        <v>171</v>
      </c>
      <c r="C26" s="742"/>
      <c r="D26" s="742"/>
      <c r="E26" s="742"/>
      <c r="F26" s="743"/>
    </row>
    <row r="27" spans="1:51" x14ac:dyDescent="0.2">
      <c r="B27" s="62"/>
      <c r="C27" s="63"/>
      <c r="D27" s="63"/>
      <c r="E27" s="63"/>
      <c r="F27" s="64"/>
    </row>
  </sheetData>
  <sheetProtection sheet="1"/>
  <mergeCells count="10">
    <mergeCell ref="B24:F24"/>
    <mergeCell ref="B26:F26"/>
    <mergeCell ref="Q7:R7"/>
    <mergeCell ref="B7:H7"/>
    <mergeCell ref="I7:J7"/>
    <mergeCell ref="K7:L7"/>
    <mergeCell ref="M7:N7"/>
    <mergeCell ref="O7:P7"/>
    <mergeCell ref="C8:D8"/>
    <mergeCell ref="F8:G8"/>
  </mergeCells>
  <phoneticPr fontId="1" type="noConversion"/>
  <dataValidations count="1">
    <dataValidation type="list" allowBlank="1" showInputMessage="1" showErrorMessage="1" sqref="D3" xr:uid="{00000000-0002-0000-0500-000000000000}">
      <formula1>$AS$10:$AS$12</formula1>
    </dataValidation>
  </dataValidations>
  <hyperlinks>
    <hyperlink ref="B24" location="Start!R1C1" display="Click here to jump back to start page" xr:uid="{00000000-0004-0000-0500-000000000000}"/>
    <hyperlink ref="B26:F26" location="'(Oil)'!R1C1" display="Click here to jump to diagrams" xr:uid="{00000000-0004-0000-0500-000001000000}"/>
  </hyperlinks>
  <pageMargins left="0.15748031496062992" right="0.15748031496062992" top="0.98425196850393704" bottom="0.98425196850393704" header="0.51181102362204722" footer="0.51181102362204722"/>
  <pageSetup paperSize="9"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5"/>
  <dimension ref="A1:AH29"/>
  <sheetViews>
    <sheetView showGridLines="0" topLeftCell="A3" zoomScaleNormal="100" workbookViewId="0">
      <selection activeCell="C12" sqref="C12"/>
    </sheetView>
  </sheetViews>
  <sheetFormatPr defaultColWidth="9.140625" defaultRowHeight="12.75" x14ac:dyDescent="0.2"/>
  <cols>
    <col min="1" max="1" width="3.5703125" style="154" customWidth="1"/>
    <col min="2" max="2" width="5.42578125" style="155" customWidth="1"/>
    <col min="3" max="3" width="8.7109375" style="155" customWidth="1"/>
    <col min="4" max="4" width="7.5703125" style="155" customWidth="1"/>
    <col min="5" max="6" width="7.7109375" style="155" customWidth="1"/>
    <col min="7" max="8" width="9.42578125" style="155" customWidth="1"/>
    <col min="9" max="11" width="8.85546875" style="155" customWidth="1"/>
    <col min="12" max="12" width="9.42578125" style="155" customWidth="1"/>
    <col min="13" max="13" width="8.7109375" style="155" customWidth="1"/>
    <col min="14" max="14" width="8.5703125" style="158" customWidth="1"/>
    <col min="15" max="15" width="7.140625" style="158" customWidth="1"/>
    <col min="16" max="16" width="7.42578125" style="158" customWidth="1"/>
    <col min="17" max="17" width="7" style="158" customWidth="1"/>
    <col min="18" max="18" width="8.85546875" style="158" customWidth="1"/>
    <col min="19" max="19" width="7.42578125" style="159" customWidth="1"/>
    <col min="20" max="20" width="4.140625" style="160" customWidth="1"/>
    <col min="21" max="22" width="30" style="160" customWidth="1"/>
    <col min="23" max="27" width="9.140625" style="161"/>
    <col min="28" max="32" width="9.140625" style="162"/>
    <col min="33" max="34" width="9.140625" style="161"/>
    <col min="35" max="16384" width="9.140625" style="154"/>
  </cols>
  <sheetData>
    <row r="1" spans="1:34" ht="15.75" hidden="1" customHeight="1" x14ac:dyDescent="0.2">
      <c r="D1" s="154"/>
      <c r="E1" s="156"/>
      <c r="F1" s="156"/>
      <c r="G1" s="156"/>
      <c r="H1" s="156"/>
      <c r="I1" s="156"/>
      <c r="J1" s="157"/>
      <c r="K1" s="157"/>
      <c r="O1" s="159"/>
      <c r="P1" s="159"/>
      <c r="Q1" s="159"/>
      <c r="R1" s="159"/>
    </row>
    <row r="2" spans="1:34" ht="15.75" hidden="1" customHeight="1" x14ac:dyDescent="0.2">
      <c r="E2" s="156"/>
      <c r="F2" s="156"/>
      <c r="G2" s="156"/>
      <c r="H2" s="156"/>
      <c r="I2" s="156"/>
      <c r="O2" s="159"/>
      <c r="P2" s="159"/>
      <c r="Q2" s="159"/>
      <c r="R2" s="159"/>
    </row>
    <row r="3" spans="1:34" ht="15.75" customHeight="1" x14ac:dyDescent="0.2">
      <c r="G3" s="154"/>
      <c r="O3" s="159"/>
      <c r="P3" s="159"/>
      <c r="Q3" s="159"/>
      <c r="R3" s="159"/>
    </row>
    <row r="4" spans="1:34" ht="15.75" customHeight="1" x14ac:dyDescent="0.2">
      <c r="B4" s="163"/>
      <c r="C4" s="532" t="s">
        <v>36</v>
      </c>
      <c r="D4" s="164">
        <f>KPI!C3</f>
        <v>2017</v>
      </c>
      <c r="E4" s="165"/>
      <c r="F4" s="154"/>
      <c r="G4" s="154"/>
      <c r="K4" s="157"/>
      <c r="O4" s="159"/>
      <c r="P4" s="159"/>
      <c r="Q4" s="159"/>
      <c r="R4" s="159"/>
    </row>
    <row r="5" spans="1:34" ht="11.25" customHeight="1" x14ac:dyDescent="0.2">
      <c r="B5" s="154"/>
      <c r="C5" s="154"/>
      <c r="D5" s="166"/>
      <c r="E5" s="154"/>
      <c r="F5" s="154"/>
      <c r="G5" s="154"/>
      <c r="H5" s="154"/>
      <c r="I5" s="154"/>
      <c r="J5" s="154"/>
      <c r="K5" s="154"/>
      <c r="L5" s="154"/>
      <c r="M5" s="154"/>
      <c r="N5" s="167"/>
      <c r="O5" s="167"/>
      <c r="P5" s="167"/>
      <c r="Q5" s="167"/>
      <c r="R5" s="167"/>
    </row>
    <row r="6" spans="1:34" s="168" customFormat="1" ht="30" customHeight="1" x14ac:dyDescent="0.2">
      <c r="B6" s="169" t="str">
        <f>D4&amp;" Energy Summary"</f>
        <v>2017 Energy Summary</v>
      </c>
      <c r="C6" s="170"/>
      <c r="D6" s="170"/>
      <c r="E6" s="170"/>
      <c r="F6" s="170"/>
      <c r="G6" s="170"/>
      <c r="H6" s="170"/>
      <c r="I6" s="170"/>
      <c r="J6" s="170"/>
      <c r="K6" s="170"/>
      <c r="L6" s="170"/>
      <c r="M6" s="170"/>
      <c r="N6" s="171"/>
      <c r="O6" s="171"/>
      <c r="P6" s="171"/>
      <c r="Q6" s="171"/>
      <c r="R6" s="171"/>
      <c r="S6" s="172"/>
      <c r="W6" s="173"/>
      <c r="X6" s="173"/>
      <c r="Y6" s="173"/>
      <c r="Z6" s="173"/>
      <c r="AA6" s="173"/>
      <c r="AB6" s="173"/>
      <c r="AC6" s="173"/>
      <c r="AD6" s="173"/>
      <c r="AE6" s="173"/>
      <c r="AF6" s="173"/>
      <c r="AG6" s="173"/>
      <c r="AH6" s="173"/>
    </row>
    <row r="7" spans="1:34" s="174" customFormat="1" ht="16.5" customHeight="1" x14ac:dyDescent="0.2">
      <c r="B7" s="175"/>
      <c r="C7" s="176" t="s">
        <v>81</v>
      </c>
      <c r="D7" s="177"/>
      <c r="E7" s="177"/>
      <c r="F7" s="177"/>
      <c r="G7" s="178"/>
      <c r="H7" s="176" t="s">
        <v>49</v>
      </c>
      <c r="I7" s="177"/>
      <c r="J7" s="177"/>
      <c r="K7" s="177"/>
      <c r="L7" s="177"/>
      <c r="M7" s="178"/>
      <c r="N7" s="179" t="s">
        <v>85</v>
      </c>
      <c r="O7" s="180"/>
      <c r="P7" s="180"/>
      <c r="Q7" s="180"/>
      <c r="R7" s="180"/>
      <c r="S7" s="181"/>
      <c r="W7" s="182"/>
      <c r="X7" s="182"/>
      <c r="Y7" s="182"/>
      <c r="Z7" s="182"/>
      <c r="AA7" s="182"/>
      <c r="AB7" s="183"/>
      <c r="AC7" s="183"/>
      <c r="AD7" s="183"/>
      <c r="AE7" s="183"/>
      <c r="AF7" s="183"/>
      <c r="AG7" s="183"/>
      <c r="AH7" s="183"/>
    </row>
    <row r="8" spans="1:34" s="184" customFormat="1" ht="45" x14ac:dyDescent="0.2">
      <c r="B8" s="185"/>
      <c r="C8" s="186" t="s">
        <v>65</v>
      </c>
      <c r="D8" s="187" t="s">
        <v>66</v>
      </c>
      <c r="E8" s="187" t="s">
        <v>67</v>
      </c>
      <c r="F8" s="187" t="s">
        <v>68</v>
      </c>
      <c r="G8" s="188" t="s">
        <v>82</v>
      </c>
      <c r="H8" s="186" t="s">
        <v>65</v>
      </c>
      <c r="I8" s="187" t="s">
        <v>66</v>
      </c>
      <c r="J8" s="187" t="s">
        <v>67</v>
      </c>
      <c r="K8" s="187" t="s">
        <v>68</v>
      </c>
      <c r="L8" s="187" t="s">
        <v>82</v>
      </c>
      <c r="M8" s="188" t="s">
        <v>83</v>
      </c>
      <c r="N8" s="189" t="s">
        <v>65</v>
      </c>
      <c r="O8" s="190" t="s">
        <v>66</v>
      </c>
      <c r="P8" s="190" t="s">
        <v>67</v>
      </c>
      <c r="Q8" s="190" t="s">
        <v>68</v>
      </c>
      <c r="R8" s="190" t="s">
        <v>84</v>
      </c>
      <c r="S8" s="191" t="s">
        <v>83</v>
      </c>
      <c r="W8" s="182"/>
      <c r="X8" s="192" t="s">
        <v>65</v>
      </c>
      <c r="Y8" s="192" t="s">
        <v>66</v>
      </c>
      <c r="Z8" s="192" t="s">
        <v>67</v>
      </c>
      <c r="AA8" s="192" t="s">
        <v>68</v>
      </c>
      <c r="AB8" s="192" t="s">
        <v>65</v>
      </c>
      <c r="AC8" s="192" t="s">
        <v>66</v>
      </c>
      <c r="AD8" s="192" t="s">
        <v>67</v>
      </c>
      <c r="AE8" s="192" t="s">
        <v>68</v>
      </c>
      <c r="AF8" s="192"/>
      <c r="AG8" s="192"/>
      <c r="AH8" s="192" t="s">
        <v>71</v>
      </c>
    </row>
    <row r="9" spans="1:34" s="155" customFormat="1" ht="14.25" customHeight="1" x14ac:dyDescent="0.2">
      <c r="B9" s="193"/>
      <c r="C9" s="194" t="s">
        <v>13</v>
      </c>
      <c r="D9" s="195" t="s">
        <v>13</v>
      </c>
      <c r="E9" s="195" t="s">
        <v>13</v>
      </c>
      <c r="F9" s="195" t="s">
        <v>13</v>
      </c>
      <c r="G9" s="196" t="s">
        <v>13</v>
      </c>
      <c r="H9" s="194" t="str">
        <f>"["&amp;Start!$O$7&amp;"]"</f>
        <v>[$]</v>
      </c>
      <c r="I9" s="195" t="str">
        <f>"["&amp;Start!$O$7&amp;"]"</f>
        <v>[$]</v>
      </c>
      <c r="J9" s="195" t="str">
        <f>"["&amp;Start!$O$7&amp;"]"</f>
        <v>[$]</v>
      </c>
      <c r="K9" s="195" t="str">
        <f>"["&amp;Start!$O$7&amp;"]"</f>
        <v>[$]</v>
      </c>
      <c r="L9" s="195" t="str">
        <f>"["&amp;Start!$O$7&amp;"]"</f>
        <v>[$]</v>
      </c>
      <c r="M9" s="196" t="str">
        <f>"["&amp;Start!$O$7&amp;"]"</f>
        <v>[$]</v>
      </c>
      <c r="N9" s="197" t="s">
        <v>203</v>
      </c>
      <c r="O9" s="197" t="s">
        <v>203</v>
      </c>
      <c r="P9" s="197" t="s">
        <v>203</v>
      </c>
      <c r="Q9" s="197" t="s">
        <v>203</v>
      </c>
      <c r="R9" s="197" t="s">
        <v>203</v>
      </c>
      <c r="S9" s="197" t="s">
        <v>203</v>
      </c>
      <c r="W9" s="182"/>
      <c r="X9" s="198"/>
      <c r="Y9" s="198"/>
      <c r="Z9" s="198"/>
      <c r="AA9" s="198"/>
      <c r="AB9" s="198"/>
      <c r="AC9" s="198"/>
      <c r="AD9" s="198"/>
      <c r="AE9" s="198"/>
      <c r="AF9" s="198"/>
      <c r="AG9" s="198"/>
      <c r="AH9" s="198"/>
    </row>
    <row r="10" spans="1:34" ht="14.25" customHeight="1" x14ac:dyDescent="0.2">
      <c r="A10" s="132" t="str">
        <f>B10&amp;$D$4</f>
        <v>Jan2017</v>
      </c>
      <c r="B10" s="199" t="s">
        <v>0</v>
      </c>
      <c r="C10" s="200">
        <f>Electricity!C10</f>
        <v>921954.00000000023</v>
      </c>
      <c r="D10" s="201">
        <f>'Natural Gas'!C10</f>
        <v>624712.5</v>
      </c>
      <c r="E10" s="201">
        <f>LPG!D10</f>
        <v>0</v>
      </c>
      <c r="F10" s="201">
        <f>Oil!D10</f>
        <v>0</v>
      </c>
      <c r="G10" s="202">
        <f>SUM(D10:F10)</f>
        <v>624712.5</v>
      </c>
      <c r="H10" s="203">
        <f>Electricity!F10</f>
        <v>39539.709481998121</v>
      </c>
      <c r="I10" s="204">
        <f>'Natural Gas'!F10</f>
        <v>4271.7020204836754</v>
      </c>
      <c r="J10" s="204">
        <f>LPG!E10</f>
        <v>0</v>
      </c>
      <c r="K10" s="204">
        <f>Oil!E10</f>
        <v>0</v>
      </c>
      <c r="L10" s="204">
        <f>SUM(I10:K10)</f>
        <v>4271.7020204836754</v>
      </c>
      <c r="M10" s="205">
        <f>SUM(H10,L10)</f>
        <v>43811.411502481795</v>
      </c>
      <c r="N10" s="206">
        <f>Electricity!H10</f>
        <v>442.5379200000001</v>
      </c>
      <c r="O10" s="207">
        <f>'Natural Gas'!H10</f>
        <v>126.1568439524838</v>
      </c>
      <c r="P10" s="207">
        <f>LPG!H10</f>
        <v>0</v>
      </c>
      <c r="Q10" s="207">
        <f>Oil!H10</f>
        <v>0</v>
      </c>
      <c r="R10" s="207">
        <f>SUM(O10:Q10)</f>
        <v>126.1568439524838</v>
      </c>
      <c r="S10" s="208">
        <f>SUM(N10,R10)</f>
        <v>568.69476395248387</v>
      </c>
      <c r="W10" s="182"/>
      <c r="X10" s="161">
        <f>H10</f>
        <v>39539.709481998121</v>
      </c>
      <c r="Y10" s="161">
        <f>I10</f>
        <v>4271.7020204836754</v>
      </c>
      <c r="Z10" s="161">
        <f>J10</f>
        <v>0</v>
      </c>
      <c r="AA10" s="161">
        <f>K10</f>
        <v>0</v>
      </c>
      <c r="AB10" s="161">
        <f>C10</f>
        <v>921954.00000000023</v>
      </c>
      <c r="AC10" s="161">
        <f>D10</f>
        <v>624712.5</v>
      </c>
      <c r="AD10" s="161">
        <f>E10</f>
        <v>0</v>
      </c>
      <c r="AE10" s="161">
        <f>F10</f>
        <v>0</v>
      </c>
      <c r="AG10" s="161" t="s">
        <v>65</v>
      </c>
      <c r="AH10" s="161">
        <f>INDEX(Electricity!CF:CF,MATCH(Sum!D4,Electricity!CE:CE,),)</f>
        <v>4.8000000000000001E-4</v>
      </c>
    </row>
    <row r="11" spans="1:34" ht="14.25" customHeight="1" x14ac:dyDescent="0.2">
      <c r="A11" s="132" t="str">
        <f t="shared" ref="A11:A21" si="0">B11&amp;$D$4</f>
        <v>Feb2017</v>
      </c>
      <c r="B11" s="199" t="s">
        <v>1</v>
      </c>
      <c r="C11" s="200">
        <f>Electricity!C11</f>
        <v>926046.00000000012</v>
      </c>
      <c r="D11" s="201">
        <f>'Natural Gas'!C11</f>
        <v>791088.75</v>
      </c>
      <c r="E11" s="201">
        <f>LPG!D11</f>
        <v>0</v>
      </c>
      <c r="F11" s="201">
        <f>Oil!D11</f>
        <v>0</v>
      </c>
      <c r="G11" s="202">
        <f t="shared" ref="G11:G21" si="1">SUM(D11:F11)</f>
        <v>791088.75</v>
      </c>
      <c r="H11" s="203">
        <f>Electricity!F11</f>
        <v>39241.913318168881</v>
      </c>
      <c r="I11" s="204">
        <f>'Natural Gas'!F11</f>
        <v>5434.3497082192407</v>
      </c>
      <c r="J11" s="204">
        <f>LPG!E11</f>
        <v>0</v>
      </c>
      <c r="K11" s="204">
        <f>Oil!E11</f>
        <v>0</v>
      </c>
      <c r="L11" s="204">
        <f t="shared" ref="L11:L21" si="2">SUM(I11:K11)</f>
        <v>5434.3497082192407</v>
      </c>
      <c r="M11" s="205">
        <f t="shared" ref="M11:M21" si="3">SUM(H11,L11)</f>
        <v>44676.263026388122</v>
      </c>
      <c r="N11" s="206">
        <f>Electricity!H11</f>
        <v>444.50208000000009</v>
      </c>
      <c r="O11" s="207">
        <f>'Natural Gas'!H11</f>
        <v>159.75550350971923</v>
      </c>
      <c r="P11" s="207">
        <f>LPG!H11</f>
        <v>0</v>
      </c>
      <c r="Q11" s="207">
        <f>Oil!H11</f>
        <v>0</v>
      </c>
      <c r="R11" s="207">
        <f t="shared" ref="R11:R21" si="4">SUM(O11:Q11)</f>
        <v>159.75550350971923</v>
      </c>
      <c r="S11" s="208">
        <f t="shared" ref="S11:S21" si="5">SUM(N11,R11)</f>
        <v>604.25758350971932</v>
      </c>
      <c r="W11" s="182"/>
      <c r="X11" s="161">
        <f t="shared" ref="X11:X21" si="6">H11</f>
        <v>39241.913318168881</v>
      </c>
      <c r="Y11" s="161">
        <f t="shared" ref="Y11:Y21" si="7">I11</f>
        <v>5434.3497082192407</v>
      </c>
      <c r="Z11" s="161">
        <f t="shared" ref="Z11:Z21" si="8">J11</f>
        <v>0</v>
      </c>
      <c r="AA11" s="161">
        <f t="shared" ref="AA11:AA21" si="9">K11</f>
        <v>0</v>
      </c>
      <c r="AB11" s="161">
        <f t="shared" ref="AB11:AB21" si="10">C11</f>
        <v>926046.00000000012</v>
      </c>
      <c r="AC11" s="161">
        <f t="shared" ref="AC11:AC21" si="11">D11</f>
        <v>791088.75</v>
      </c>
      <c r="AD11" s="161">
        <f t="shared" ref="AD11:AD21" si="12">E11</f>
        <v>0</v>
      </c>
      <c r="AE11" s="161">
        <f t="shared" ref="AE11:AE21" si="13">F11</f>
        <v>0</v>
      </c>
      <c r="AG11" s="161" t="s">
        <v>66</v>
      </c>
      <c r="AH11" s="161">
        <f>INDEX('Natural Gas'!AI:AI,MATCH(Sum!D4,'Natural Gas'!AH:AH,),)</f>
        <v>2.019438444924406E-4</v>
      </c>
    </row>
    <row r="12" spans="1:34" ht="14.25" customHeight="1" x14ac:dyDescent="0.2">
      <c r="A12" s="132" t="str">
        <f t="shared" si="0"/>
        <v>Mar2017</v>
      </c>
      <c r="B12" s="199" t="s">
        <v>2</v>
      </c>
      <c r="C12" s="200">
        <f>Electricity!C12</f>
        <v>934136</v>
      </c>
      <c r="D12" s="201">
        <f>'Natural Gas'!C12</f>
        <v>905433.75</v>
      </c>
      <c r="E12" s="201">
        <f>LPG!D12</f>
        <v>0</v>
      </c>
      <c r="F12" s="201">
        <f>Oil!D12</f>
        <v>0</v>
      </c>
      <c r="G12" s="202">
        <f t="shared" si="1"/>
        <v>905433.75</v>
      </c>
      <c r="H12" s="203">
        <f>Electricity!F12</f>
        <v>37650.411886118884</v>
      </c>
      <c r="I12" s="204">
        <f>'Natural Gas'!F12</f>
        <v>6973.2112456379491</v>
      </c>
      <c r="J12" s="204">
        <f>LPG!E12</f>
        <v>0</v>
      </c>
      <c r="K12" s="204">
        <f>Oil!E12</f>
        <v>0</v>
      </c>
      <c r="L12" s="204">
        <f t="shared" si="2"/>
        <v>6973.2112456379491</v>
      </c>
      <c r="M12" s="205">
        <f t="shared" si="3"/>
        <v>44623.623131756831</v>
      </c>
      <c r="N12" s="206">
        <f>Electricity!H12</f>
        <v>448.38528000000002</v>
      </c>
      <c r="O12" s="207">
        <f>'Natural Gas'!H12</f>
        <v>182.84677240820736</v>
      </c>
      <c r="P12" s="207">
        <f>LPG!H12</f>
        <v>0</v>
      </c>
      <c r="Q12" s="207">
        <f>Oil!H12</f>
        <v>0</v>
      </c>
      <c r="R12" s="207">
        <f t="shared" si="4"/>
        <v>182.84677240820736</v>
      </c>
      <c r="S12" s="208">
        <f t="shared" si="5"/>
        <v>631.23205240820744</v>
      </c>
      <c r="W12" s="182"/>
      <c r="X12" s="161">
        <f t="shared" si="6"/>
        <v>37650.411886118884</v>
      </c>
      <c r="Y12" s="161">
        <f t="shared" si="7"/>
        <v>6973.2112456379491</v>
      </c>
      <c r="Z12" s="161">
        <f t="shared" si="8"/>
        <v>0</v>
      </c>
      <c r="AA12" s="161">
        <f t="shared" si="9"/>
        <v>0</v>
      </c>
      <c r="AB12" s="161">
        <f t="shared" si="10"/>
        <v>934136</v>
      </c>
      <c r="AC12" s="161">
        <f t="shared" si="11"/>
        <v>905433.75</v>
      </c>
      <c r="AD12" s="161">
        <f t="shared" si="12"/>
        <v>0</v>
      </c>
      <c r="AE12" s="161">
        <f t="shared" si="13"/>
        <v>0</v>
      </c>
      <c r="AG12" s="161" t="s">
        <v>67</v>
      </c>
      <c r="AH12" s="161">
        <f>INDEX(LPG!AY:AY,MATCH(Sum!D4,LPG!AX:AX,),)</f>
        <v>0</v>
      </c>
    </row>
    <row r="13" spans="1:34" ht="14.25" customHeight="1" x14ac:dyDescent="0.2">
      <c r="A13" s="132" t="str">
        <f t="shared" si="0"/>
        <v>Apr2017</v>
      </c>
      <c r="B13" s="199" t="s">
        <v>3</v>
      </c>
      <c r="C13" s="200">
        <f>Electricity!C13</f>
        <v>1154254</v>
      </c>
      <c r="D13" s="201">
        <f>'Natural Gas'!C13</f>
        <v>918855</v>
      </c>
      <c r="E13" s="201">
        <f>LPG!D13</f>
        <v>0</v>
      </c>
      <c r="F13" s="201">
        <f>Oil!D13</f>
        <v>0</v>
      </c>
      <c r="G13" s="202">
        <f t="shared" si="1"/>
        <v>918855</v>
      </c>
      <c r="H13" s="203">
        <f>Electricity!F13</f>
        <v>45941.428388457258</v>
      </c>
      <c r="I13" s="204">
        <f>'Natural Gas'!F13</f>
        <v>7106.4675032693804</v>
      </c>
      <c r="J13" s="204">
        <f>LPG!E13</f>
        <v>0</v>
      </c>
      <c r="K13" s="204">
        <f>Oil!E13</f>
        <v>0</v>
      </c>
      <c r="L13" s="204">
        <f t="shared" si="2"/>
        <v>7106.4675032693804</v>
      </c>
      <c r="M13" s="205">
        <f t="shared" si="3"/>
        <v>53047.895891726635</v>
      </c>
      <c r="N13" s="206">
        <f>Electricity!H13</f>
        <v>554.04192</v>
      </c>
      <c r="O13" s="207">
        <f>'Natural Gas'!H13</f>
        <v>185.55711123110152</v>
      </c>
      <c r="P13" s="207">
        <f>LPG!H13</f>
        <v>0</v>
      </c>
      <c r="Q13" s="207">
        <f>Oil!H13</f>
        <v>0</v>
      </c>
      <c r="R13" s="207">
        <f t="shared" si="4"/>
        <v>185.55711123110152</v>
      </c>
      <c r="S13" s="208">
        <f t="shared" si="5"/>
        <v>739.59903123110155</v>
      </c>
      <c r="W13" s="182"/>
      <c r="X13" s="161">
        <f t="shared" si="6"/>
        <v>45941.428388457258</v>
      </c>
      <c r="Y13" s="161">
        <f t="shared" si="7"/>
        <v>7106.4675032693804</v>
      </c>
      <c r="Z13" s="161">
        <f t="shared" si="8"/>
        <v>0</v>
      </c>
      <c r="AA13" s="161">
        <f t="shared" si="9"/>
        <v>0</v>
      </c>
      <c r="AB13" s="161">
        <f t="shared" si="10"/>
        <v>1154254</v>
      </c>
      <c r="AC13" s="161">
        <f t="shared" si="11"/>
        <v>918855</v>
      </c>
      <c r="AD13" s="161">
        <f t="shared" si="12"/>
        <v>0</v>
      </c>
      <c r="AE13" s="161">
        <f t="shared" si="13"/>
        <v>0</v>
      </c>
      <c r="AG13" s="161" t="s">
        <v>68</v>
      </c>
      <c r="AH13" s="161">
        <f>INDEX(Oil!AU:AU,MATCH(Sum!D4,Oil!AY:AY,),)</f>
        <v>0</v>
      </c>
    </row>
    <row r="14" spans="1:34" ht="14.25" customHeight="1" x14ac:dyDescent="0.2">
      <c r="A14" s="132" t="str">
        <f t="shared" si="0"/>
        <v>May2017</v>
      </c>
      <c r="B14" s="199" t="s">
        <v>4</v>
      </c>
      <c r="C14" s="200">
        <f>Electricity!C14</f>
        <v>1339322.0000000002</v>
      </c>
      <c r="D14" s="201">
        <f>'Natural Gas'!C14</f>
        <v>1447920</v>
      </c>
      <c r="E14" s="201">
        <f>LPG!D14</f>
        <v>0</v>
      </c>
      <c r="F14" s="201">
        <f>Oil!D14</f>
        <v>0</v>
      </c>
      <c r="G14" s="202">
        <f t="shared" si="1"/>
        <v>1447920</v>
      </c>
      <c r="H14" s="203">
        <f>Electricity!F14</f>
        <v>55963.532212730453</v>
      </c>
      <c r="I14" s="204">
        <f>'Natural Gas'!F14</f>
        <v>11153.149532778491</v>
      </c>
      <c r="J14" s="204">
        <f>LPG!E14</f>
        <v>0</v>
      </c>
      <c r="K14" s="204">
        <f>Oil!E14</f>
        <v>0</v>
      </c>
      <c r="L14" s="204">
        <f t="shared" si="2"/>
        <v>11153.149532778491</v>
      </c>
      <c r="M14" s="205">
        <f t="shared" si="3"/>
        <v>67116.681745508948</v>
      </c>
      <c r="N14" s="206">
        <f>Electricity!H14</f>
        <v>642.87456000000009</v>
      </c>
      <c r="O14" s="207">
        <f>'Natural Gas'!H14</f>
        <v>292.39853131749459</v>
      </c>
      <c r="P14" s="207">
        <f>LPG!H14</f>
        <v>0</v>
      </c>
      <c r="Q14" s="207">
        <f>Oil!H14</f>
        <v>0</v>
      </c>
      <c r="R14" s="207">
        <f t="shared" si="4"/>
        <v>292.39853131749459</v>
      </c>
      <c r="S14" s="208">
        <f t="shared" si="5"/>
        <v>935.27309131749462</v>
      </c>
      <c r="W14" s="182"/>
      <c r="X14" s="161">
        <f t="shared" si="6"/>
        <v>55963.532212730453</v>
      </c>
      <c r="Y14" s="161">
        <f t="shared" si="7"/>
        <v>11153.149532778491</v>
      </c>
      <c r="Z14" s="161">
        <f t="shared" si="8"/>
        <v>0</v>
      </c>
      <c r="AA14" s="161">
        <f t="shared" si="9"/>
        <v>0</v>
      </c>
      <c r="AB14" s="161">
        <f t="shared" si="10"/>
        <v>1339322.0000000002</v>
      </c>
      <c r="AC14" s="161">
        <f t="shared" si="11"/>
        <v>1447920</v>
      </c>
      <c r="AD14" s="161">
        <f t="shared" si="12"/>
        <v>0</v>
      </c>
      <c r="AE14" s="161">
        <f t="shared" si="13"/>
        <v>0</v>
      </c>
    </row>
    <row r="15" spans="1:34" ht="14.25" customHeight="1" x14ac:dyDescent="0.2">
      <c r="A15" s="132" t="str">
        <f t="shared" si="0"/>
        <v>Jun2017</v>
      </c>
      <c r="B15" s="199" t="s">
        <v>5</v>
      </c>
      <c r="C15" s="200">
        <f>Electricity!C15</f>
        <v>1579478.9999999998</v>
      </c>
      <c r="D15" s="201">
        <f>'Natural Gas'!C15</f>
        <v>1440956.25</v>
      </c>
      <c r="E15" s="201">
        <f>LPG!D15</f>
        <v>0</v>
      </c>
      <c r="F15" s="201">
        <f>Oil!D15</f>
        <v>0</v>
      </c>
      <c r="G15" s="202">
        <f t="shared" si="1"/>
        <v>1440956.25</v>
      </c>
      <c r="H15" s="203">
        <f>Electricity!F15</f>
        <v>67537.448956051769</v>
      </c>
      <c r="I15" s="204">
        <f>'Natural Gas'!F15</f>
        <v>10819.13720463883</v>
      </c>
      <c r="J15" s="204">
        <f>LPG!E15</f>
        <v>0</v>
      </c>
      <c r="K15" s="204">
        <f>Oil!E15</f>
        <v>0</v>
      </c>
      <c r="L15" s="204">
        <f t="shared" si="2"/>
        <v>10819.13720463883</v>
      </c>
      <c r="M15" s="205">
        <f t="shared" si="3"/>
        <v>78356.586160690596</v>
      </c>
      <c r="N15" s="206">
        <f>Electricity!H15</f>
        <v>758.14991999999995</v>
      </c>
      <c r="O15" s="207">
        <f>'Natural Gas'!H15</f>
        <v>290.99224487041039</v>
      </c>
      <c r="P15" s="207">
        <f>LPG!H15</f>
        <v>0</v>
      </c>
      <c r="Q15" s="207">
        <f>Oil!H15</f>
        <v>0</v>
      </c>
      <c r="R15" s="207">
        <f t="shared" si="4"/>
        <v>290.99224487041039</v>
      </c>
      <c r="S15" s="208">
        <f t="shared" si="5"/>
        <v>1049.1421648704104</v>
      </c>
      <c r="W15" s="182"/>
      <c r="X15" s="161">
        <f t="shared" si="6"/>
        <v>67537.448956051769</v>
      </c>
      <c r="Y15" s="161">
        <f t="shared" si="7"/>
        <v>10819.13720463883</v>
      </c>
      <c r="Z15" s="161">
        <f t="shared" si="8"/>
        <v>0</v>
      </c>
      <c r="AA15" s="161">
        <f t="shared" si="9"/>
        <v>0</v>
      </c>
      <c r="AB15" s="161">
        <f t="shared" si="10"/>
        <v>1579478.9999999998</v>
      </c>
      <c r="AC15" s="161">
        <f t="shared" si="11"/>
        <v>1440956.25</v>
      </c>
      <c r="AD15" s="161">
        <f t="shared" si="12"/>
        <v>0</v>
      </c>
      <c r="AE15" s="161">
        <f t="shared" si="13"/>
        <v>0</v>
      </c>
    </row>
    <row r="16" spans="1:34" ht="14.25" customHeight="1" x14ac:dyDescent="0.2">
      <c r="A16" s="132" t="str">
        <f t="shared" si="0"/>
        <v>Jul2017</v>
      </c>
      <c r="B16" s="199" t="s">
        <v>6</v>
      </c>
      <c r="C16" s="200">
        <f>Electricity!C16</f>
        <v>1173908</v>
      </c>
      <c r="D16" s="201">
        <f>'Natural Gas'!C16</f>
        <v>845336.25</v>
      </c>
      <c r="E16" s="201">
        <f>LPG!D16</f>
        <v>0</v>
      </c>
      <c r="F16" s="201">
        <f>Oil!D16</f>
        <v>0</v>
      </c>
      <c r="G16" s="202">
        <f t="shared" si="1"/>
        <v>845336.25</v>
      </c>
      <c r="H16" s="203">
        <f>Electricity!F16</f>
        <v>65632.79139887527</v>
      </c>
      <c r="I16" s="204">
        <f>'Natural Gas'!F16</f>
        <v>6301.3670415238967</v>
      </c>
      <c r="J16" s="204">
        <f>LPG!E16</f>
        <v>0</v>
      </c>
      <c r="K16" s="204">
        <f>Oil!E16</f>
        <v>0</v>
      </c>
      <c r="L16" s="204">
        <f t="shared" si="2"/>
        <v>6301.3670415238967</v>
      </c>
      <c r="M16" s="205">
        <f t="shared" si="3"/>
        <v>71934.158440399173</v>
      </c>
      <c r="N16" s="206">
        <f>Electricity!H16</f>
        <v>563.47584000000006</v>
      </c>
      <c r="O16" s="207">
        <f>'Natural Gas'!H16</f>
        <v>170.71045221382289</v>
      </c>
      <c r="P16" s="207">
        <f>LPG!H16</f>
        <v>0</v>
      </c>
      <c r="Q16" s="207">
        <f>Oil!H16</f>
        <v>0</v>
      </c>
      <c r="R16" s="207">
        <f t="shared" si="4"/>
        <v>170.71045221382289</v>
      </c>
      <c r="S16" s="208">
        <f t="shared" si="5"/>
        <v>734.18629221382298</v>
      </c>
      <c r="W16" s="182"/>
      <c r="X16" s="161">
        <f t="shared" si="6"/>
        <v>65632.79139887527</v>
      </c>
      <c r="Y16" s="161">
        <f t="shared" si="7"/>
        <v>6301.3670415238967</v>
      </c>
      <c r="Z16" s="161">
        <f t="shared" si="8"/>
        <v>0</v>
      </c>
      <c r="AA16" s="161">
        <f t="shared" si="9"/>
        <v>0</v>
      </c>
      <c r="AB16" s="161">
        <f t="shared" si="10"/>
        <v>1173908</v>
      </c>
      <c r="AC16" s="161">
        <f t="shared" si="11"/>
        <v>845336.25</v>
      </c>
      <c r="AD16" s="161">
        <f t="shared" si="12"/>
        <v>0</v>
      </c>
      <c r="AE16" s="161">
        <f t="shared" si="13"/>
        <v>0</v>
      </c>
    </row>
    <row r="17" spans="1:34" ht="14.25" customHeight="1" x14ac:dyDescent="0.2">
      <c r="A17" s="132" t="str">
        <f t="shared" si="0"/>
        <v>Aug2017</v>
      </c>
      <c r="B17" s="199" t="s">
        <v>7</v>
      </c>
      <c r="C17" s="200">
        <f>Electricity!C17</f>
        <v>1374111</v>
      </c>
      <c r="D17" s="201">
        <f>'Natural Gas'!C17</f>
        <v>847586.25</v>
      </c>
      <c r="E17" s="201">
        <f>LPG!D17</f>
        <v>0</v>
      </c>
      <c r="F17" s="201">
        <f>Oil!D17</f>
        <v>0</v>
      </c>
      <c r="G17" s="202">
        <f t="shared" si="1"/>
        <v>847586.25</v>
      </c>
      <c r="H17" s="203">
        <f>Electricity!F17</f>
        <v>77443.812196118175</v>
      </c>
      <c r="I17" s="204">
        <f>'Natural Gas'!F17</f>
        <v>6326.0818906727272</v>
      </c>
      <c r="J17" s="204">
        <f>LPG!E17</f>
        <v>0</v>
      </c>
      <c r="K17" s="204">
        <f>Oil!E17</f>
        <v>0</v>
      </c>
      <c r="L17" s="204">
        <f t="shared" si="2"/>
        <v>6326.0818906727272</v>
      </c>
      <c r="M17" s="205">
        <f t="shared" si="3"/>
        <v>83769.894086790897</v>
      </c>
      <c r="N17" s="206">
        <f>Electricity!H17</f>
        <v>659.57328000000007</v>
      </c>
      <c r="O17" s="207">
        <f>'Natural Gas'!H17</f>
        <v>171.16482586393087</v>
      </c>
      <c r="P17" s="207">
        <f>LPG!H17</f>
        <v>0</v>
      </c>
      <c r="Q17" s="207">
        <f>Oil!H17</f>
        <v>0</v>
      </c>
      <c r="R17" s="207">
        <f t="shared" si="4"/>
        <v>171.16482586393087</v>
      </c>
      <c r="S17" s="208">
        <f t="shared" si="5"/>
        <v>830.73810586393097</v>
      </c>
      <c r="W17" s="182"/>
      <c r="X17" s="161">
        <f t="shared" si="6"/>
        <v>77443.812196118175</v>
      </c>
      <c r="Y17" s="161">
        <f t="shared" si="7"/>
        <v>6326.0818906727272</v>
      </c>
      <c r="Z17" s="161">
        <f t="shared" si="8"/>
        <v>0</v>
      </c>
      <c r="AA17" s="161">
        <f t="shared" si="9"/>
        <v>0</v>
      </c>
      <c r="AB17" s="161">
        <f t="shared" si="10"/>
        <v>1374111</v>
      </c>
      <c r="AC17" s="161">
        <f t="shared" si="11"/>
        <v>847586.25</v>
      </c>
      <c r="AD17" s="161">
        <f t="shared" si="12"/>
        <v>0</v>
      </c>
      <c r="AE17" s="161">
        <f t="shared" si="13"/>
        <v>0</v>
      </c>
    </row>
    <row r="18" spans="1:34" ht="14.25" customHeight="1" x14ac:dyDescent="0.2">
      <c r="A18" s="132" t="str">
        <f t="shared" si="0"/>
        <v>Sep2017</v>
      </c>
      <c r="B18" s="199" t="s">
        <v>8</v>
      </c>
      <c r="C18" s="200">
        <f>Electricity!C18</f>
        <v>1550682.0000000002</v>
      </c>
      <c r="D18" s="201">
        <f>'Natural Gas'!C18</f>
        <v>832162.5</v>
      </c>
      <c r="E18" s="201">
        <f>LPG!D18</f>
        <v>0</v>
      </c>
      <c r="F18" s="201">
        <f>Oil!D18</f>
        <v>0</v>
      </c>
      <c r="G18" s="202">
        <f t="shared" si="1"/>
        <v>832162.5</v>
      </c>
      <c r="H18" s="203">
        <f>Electricity!F18</f>
        <v>87096.85480084407</v>
      </c>
      <c r="I18" s="204">
        <f>'Natural Gas'!F18</f>
        <v>6191.4039273107037</v>
      </c>
      <c r="J18" s="204">
        <f>LPG!E18</f>
        <v>0</v>
      </c>
      <c r="K18" s="204">
        <f>Oil!E18</f>
        <v>0</v>
      </c>
      <c r="L18" s="204">
        <f t="shared" si="2"/>
        <v>6191.4039273107037</v>
      </c>
      <c r="M18" s="205">
        <f t="shared" si="3"/>
        <v>93288.258728154775</v>
      </c>
      <c r="N18" s="206">
        <f>Electricity!H18</f>
        <v>744.32736000000011</v>
      </c>
      <c r="O18" s="207">
        <f>'Natural Gas'!H18</f>
        <v>168.05009449244059</v>
      </c>
      <c r="P18" s="207">
        <f>LPG!H18</f>
        <v>0</v>
      </c>
      <c r="Q18" s="207">
        <f>Oil!H18</f>
        <v>0</v>
      </c>
      <c r="R18" s="207">
        <f t="shared" si="4"/>
        <v>168.05009449244059</v>
      </c>
      <c r="S18" s="208">
        <f t="shared" si="5"/>
        <v>912.37745449244073</v>
      </c>
      <c r="W18" s="182"/>
      <c r="X18" s="161">
        <f t="shared" si="6"/>
        <v>87096.85480084407</v>
      </c>
      <c r="Y18" s="161">
        <f t="shared" si="7"/>
        <v>6191.4039273107037</v>
      </c>
      <c r="Z18" s="161">
        <f t="shared" si="8"/>
        <v>0</v>
      </c>
      <c r="AA18" s="161">
        <f t="shared" si="9"/>
        <v>0</v>
      </c>
      <c r="AB18" s="161">
        <f t="shared" si="10"/>
        <v>1550682.0000000002</v>
      </c>
      <c r="AC18" s="161">
        <f t="shared" si="11"/>
        <v>832162.5</v>
      </c>
      <c r="AD18" s="161">
        <f t="shared" si="12"/>
        <v>0</v>
      </c>
      <c r="AE18" s="161">
        <f t="shared" si="13"/>
        <v>0</v>
      </c>
    </row>
    <row r="19" spans="1:34" ht="14.25" customHeight="1" x14ac:dyDescent="0.2">
      <c r="A19" s="132" t="str">
        <f t="shared" si="0"/>
        <v>Oct2017</v>
      </c>
      <c r="B19" s="199" t="s">
        <v>9</v>
      </c>
      <c r="C19" s="200">
        <f>Electricity!C19</f>
        <v>1376402</v>
      </c>
      <c r="D19" s="201">
        <f>'Natural Gas'!C19</f>
        <v>942648.75</v>
      </c>
      <c r="E19" s="201">
        <f>LPG!D19</f>
        <v>0</v>
      </c>
      <c r="F19" s="201">
        <f>Oil!D19</f>
        <v>0</v>
      </c>
      <c r="G19" s="202">
        <f t="shared" si="1"/>
        <v>942648.75</v>
      </c>
      <c r="H19" s="203">
        <f>Electricity!F19</f>
        <v>75914.626396148567</v>
      </c>
      <c r="I19" s="204">
        <f>'Natural Gas'!F19</f>
        <v>7043.4777391147281</v>
      </c>
      <c r="J19" s="204">
        <f>LPG!E19</f>
        <v>0</v>
      </c>
      <c r="K19" s="204">
        <f>Oil!E19</f>
        <v>0</v>
      </c>
      <c r="L19" s="204">
        <f t="shared" si="2"/>
        <v>7043.4777391147281</v>
      </c>
      <c r="M19" s="205">
        <f t="shared" si="3"/>
        <v>82958.104135263289</v>
      </c>
      <c r="N19" s="206">
        <f>Electricity!H19</f>
        <v>660.67295999999999</v>
      </c>
      <c r="O19" s="207">
        <f>'Natural Gas'!H19</f>
        <v>190.36211258099351</v>
      </c>
      <c r="P19" s="207">
        <f>LPG!H19</f>
        <v>0</v>
      </c>
      <c r="Q19" s="207">
        <f>Oil!H19</f>
        <v>0</v>
      </c>
      <c r="R19" s="207">
        <f t="shared" si="4"/>
        <v>190.36211258099351</v>
      </c>
      <c r="S19" s="208">
        <f t="shared" si="5"/>
        <v>851.03507258099353</v>
      </c>
      <c r="W19" s="182"/>
      <c r="X19" s="161">
        <f t="shared" si="6"/>
        <v>75914.626396148567</v>
      </c>
      <c r="Y19" s="161">
        <f t="shared" si="7"/>
        <v>7043.4777391147281</v>
      </c>
      <c r="Z19" s="161">
        <f t="shared" si="8"/>
        <v>0</v>
      </c>
      <c r="AA19" s="161">
        <f t="shared" si="9"/>
        <v>0</v>
      </c>
      <c r="AB19" s="161">
        <f t="shared" si="10"/>
        <v>1376402</v>
      </c>
      <c r="AC19" s="161">
        <f t="shared" si="11"/>
        <v>942648.75</v>
      </c>
      <c r="AD19" s="161">
        <f t="shared" si="12"/>
        <v>0</v>
      </c>
      <c r="AE19" s="161">
        <f t="shared" si="13"/>
        <v>0</v>
      </c>
    </row>
    <row r="20" spans="1:34" ht="14.25" customHeight="1" x14ac:dyDescent="0.2">
      <c r="A20" s="132" t="str">
        <f t="shared" si="0"/>
        <v>Nov2017</v>
      </c>
      <c r="B20" s="199" t="s">
        <v>10</v>
      </c>
      <c r="C20" s="200">
        <f>Electricity!C20</f>
        <v>1481494.0000000002</v>
      </c>
      <c r="D20" s="201">
        <f>'Natural Gas'!C20</f>
        <v>1057635</v>
      </c>
      <c r="E20" s="201">
        <f>LPG!D20</f>
        <v>0</v>
      </c>
      <c r="F20" s="201">
        <f>Oil!D20</f>
        <v>0</v>
      </c>
      <c r="G20" s="202">
        <f t="shared" si="1"/>
        <v>1057635</v>
      </c>
      <c r="H20" s="203">
        <f>Electricity!F20</f>
        <v>83360.638064540195</v>
      </c>
      <c r="I20" s="204">
        <f>'Natural Gas'!F20</f>
        <v>15375.928250689585</v>
      </c>
      <c r="J20" s="204">
        <f>LPG!E20</f>
        <v>0</v>
      </c>
      <c r="K20" s="204">
        <f>Oil!E20</f>
        <v>0</v>
      </c>
      <c r="L20" s="204">
        <f t="shared" si="2"/>
        <v>15375.928250689585</v>
      </c>
      <c r="M20" s="205">
        <f t="shared" si="3"/>
        <v>98736.566315229778</v>
      </c>
      <c r="N20" s="206">
        <f>Electricity!H20</f>
        <v>711.11712000000011</v>
      </c>
      <c r="O20" s="207">
        <f>'Natural Gas'!H20</f>
        <v>213.58287796976242</v>
      </c>
      <c r="P20" s="207">
        <f>LPG!H20</f>
        <v>0</v>
      </c>
      <c r="Q20" s="207">
        <f>Oil!H20</f>
        <v>0</v>
      </c>
      <c r="R20" s="207">
        <f t="shared" si="4"/>
        <v>213.58287796976242</v>
      </c>
      <c r="S20" s="208">
        <f t="shared" si="5"/>
        <v>924.69999796976253</v>
      </c>
      <c r="W20" s="182"/>
      <c r="X20" s="161">
        <f t="shared" si="6"/>
        <v>83360.638064540195</v>
      </c>
      <c r="Y20" s="161">
        <f t="shared" si="7"/>
        <v>15375.928250689585</v>
      </c>
      <c r="Z20" s="161">
        <f t="shared" si="8"/>
        <v>0</v>
      </c>
      <c r="AA20" s="161">
        <f t="shared" si="9"/>
        <v>0</v>
      </c>
      <c r="AB20" s="161">
        <f t="shared" si="10"/>
        <v>1481494.0000000002</v>
      </c>
      <c r="AC20" s="161">
        <f t="shared" si="11"/>
        <v>1057635</v>
      </c>
      <c r="AD20" s="161">
        <f t="shared" si="12"/>
        <v>0</v>
      </c>
      <c r="AE20" s="161">
        <f t="shared" si="13"/>
        <v>0</v>
      </c>
    </row>
    <row r="21" spans="1:34" ht="14.25" customHeight="1" x14ac:dyDescent="0.2">
      <c r="A21" s="132" t="str">
        <f t="shared" si="0"/>
        <v>Dec2017</v>
      </c>
      <c r="B21" s="209" t="s">
        <v>11</v>
      </c>
      <c r="C21" s="200">
        <f>Electricity!C21</f>
        <v>1329942</v>
      </c>
      <c r="D21" s="201">
        <f>'Natural Gas'!C21</f>
        <v>1068750</v>
      </c>
      <c r="E21" s="201">
        <f>LPG!D21</f>
        <v>0</v>
      </c>
      <c r="F21" s="201">
        <f>Oil!D21</f>
        <v>0</v>
      </c>
      <c r="G21" s="202">
        <f t="shared" si="1"/>
        <v>1068750</v>
      </c>
      <c r="H21" s="203">
        <f>Electricity!F21</f>
        <v>76049.319178838487</v>
      </c>
      <c r="I21" s="204">
        <f>'Natural Gas'!F21</f>
        <v>16741.332140790237</v>
      </c>
      <c r="J21" s="204">
        <f>LPG!E21</f>
        <v>0</v>
      </c>
      <c r="K21" s="204">
        <f>Oil!E21</f>
        <v>0</v>
      </c>
      <c r="L21" s="204">
        <f t="shared" si="2"/>
        <v>16741.332140790237</v>
      </c>
      <c r="M21" s="205">
        <f t="shared" si="3"/>
        <v>92790.651319628727</v>
      </c>
      <c r="N21" s="206">
        <f>Electricity!H21</f>
        <v>638.37216000000001</v>
      </c>
      <c r="O21" s="207">
        <f>'Natural Gas'!H21</f>
        <v>215.8274838012959</v>
      </c>
      <c r="P21" s="207">
        <f>LPG!H21</f>
        <v>0</v>
      </c>
      <c r="Q21" s="207">
        <f>Oil!H21</f>
        <v>0</v>
      </c>
      <c r="R21" s="207">
        <f t="shared" si="4"/>
        <v>215.8274838012959</v>
      </c>
      <c r="S21" s="208">
        <f t="shared" si="5"/>
        <v>854.19964380129591</v>
      </c>
      <c r="W21" s="182"/>
      <c r="X21" s="161">
        <f t="shared" si="6"/>
        <v>76049.319178838487</v>
      </c>
      <c r="Y21" s="161">
        <f t="shared" si="7"/>
        <v>16741.332140790237</v>
      </c>
      <c r="Z21" s="161">
        <f t="shared" si="8"/>
        <v>0</v>
      </c>
      <c r="AA21" s="161">
        <f t="shared" si="9"/>
        <v>0</v>
      </c>
      <c r="AB21" s="161">
        <f t="shared" si="10"/>
        <v>1329942</v>
      </c>
      <c r="AC21" s="161">
        <f t="shared" si="11"/>
        <v>1068750</v>
      </c>
      <c r="AD21" s="161">
        <f t="shared" si="12"/>
        <v>0</v>
      </c>
      <c r="AE21" s="161">
        <f t="shared" si="13"/>
        <v>0</v>
      </c>
    </row>
    <row r="22" spans="1:34" s="210" customFormat="1" ht="14.25" customHeight="1" x14ac:dyDescent="0.2">
      <c r="B22" s="211" t="s">
        <v>23</v>
      </c>
      <c r="C22" s="212">
        <f t="shared" ref="C22:S22" si="14">SUM(C10:C21)</f>
        <v>15141730</v>
      </c>
      <c r="D22" s="213">
        <f t="shared" si="14"/>
        <v>11723085</v>
      </c>
      <c r="E22" s="213">
        <f t="shared" si="14"/>
        <v>0</v>
      </c>
      <c r="F22" s="213">
        <f t="shared" si="14"/>
        <v>0</v>
      </c>
      <c r="G22" s="214">
        <f t="shared" si="14"/>
        <v>11723085</v>
      </c>
      <c r="H22" s="212">
        <f t="shared" si="14"/>
        <v>751372.48627889028</v>
      </c>
      <c r="I22" s="213">
        <f t="shared" si="14"/>
        <v>103737.60820512944</v>
      </c>
      <c r="J22" s="213">
        <f t="shared" si="14"/>
        <v>0</v>
      </c>
      <c r="K22" s="213">
        <f t="shared" si="14"/>
        <v>0</v>
      </c>
      <c r="L22" s="213">
        <f t="shared" si="14"/>
        <v>103737.60820512944</v>
      </c>
      <c r="M22" s="214">
        <f t="shared" si="14"/>
        <v>855110.09448401944</v>
      </c>
      <c r="N22" s="215">
        <f t="shared" si="14"/>
        <v>7268.0304000000006</v>
      </c>
      <c r="O22" s="216">
        <f t="shared" si="14"/>
        <v>2367.404854211663</v>
      </c>
      <c r="P22" s="216">
        <f t="shared" si="14"/>
        <v>0</v>
      </c>
      <c r="Q22" s="216">
        <f t="shared" si="14"/>
        <v>0</v>
      </c>
      <c r="R22" s="216">
        <f t="shared" si="14"/>
        <v>2367.404854211663</v>
      </c>
      <c r="S22" s="217">
        <f t="shared" si="14"/>
        <v>9635.4352542116649</v>
      </c>
      <c r="T22" s="218"/>
      <c r="U22" s="218"/>
      <c r="V22" s="218"/>
      <c r="W22" s="182"/>
      <c r="X22" s="219"/>
      <c r="Y22" s="219"/>
      <c r="Z22" s="219"/>
      <c r="AA22" s="219"/>
      <c r="AB22" s="220"/>
      <c r="AC22" s="220"/>
      <c r="AD22" s="220"/>
      <c r="AE22" s="220"/>
      <c r="AF22" s="220"/>
      <c r="AG22" s="219"/>
      <c r="AH22" s="219"/>
    </row>
    <row r="23" spans="1:34" x14ac:dyDescent="0.2">
      <c r="B23" s="56"/>
      <c r="C23" s="57"/>
      <c r="D23" s="57"/>
      <c r="E23" s="57"/>
      <c r="F23" s="58"/>
      <c r="W23" s="182"/>
    </row>
    <row r="24" spans="1:34" x14ac:dyDescent="0.2">
      <c r="B24" s="738" t="s">
        <v>170</v>
      </c>
      <c r="C24" s="739"/>
      <c r="D24" s="739"/>
      <c r="E24" s="739"/>
      <c r="F24" s="740"/>
      <c r="W24" s="182"/>
    </row>
    <row r="25" spans="1:34" x14ac:dyDescent="0.2">
      <c r="B25" s="59"/>
      <c r="C25" s="60"/>
      <c r="D25" s="60"/>
      <c r="E25" s="60"/>
      <c r="F25" s="61"/>
      <c r="W25" s="182"/>
    </row>
    <row r="26" spans="1:34" x14ac:dyDescent="0.2">
      <c r="B26" s="741" t="s">
        <v>171</v>
      </c>
      <c r="C26" s="742"/>
      <c r="D26" s="742"/>
      <c r="E26" s="742"/>
      <c r="F26" s="743"/>
      <c r="W26" s="182"/>
    </row>
    <row r="27" spans="1:34" x14ac:dyDescent="0.2">
      <c r="B27" s="59"/>
      <c r="C27" s="60"/>
      <c r="D27" s="60"/>
      <c r="E27" s="60"/>
      <c r="F27" s="61"/>
    </row>
    <row r="28" spans="1:34" x14ac:dyDescent="0.2">
      <c r="B28" s="741" t="s">
        <v>175</v>
      </c>
      <c r="C28" s="742"/>
      <c r="D28" s="742"/>
      <c r="E28" s="742"/>
      <c r="F28" s="743"/>
    </row>
    <row r="29" spans="1:34" x14ac:dyDescent="0.2">
      <c r="B29" s="62"/>
      <c r="C29" s="63"/>
      <c r="D29" s="63"/>
      <c r="E29" s="63"/>
      <c r="F29" s="64"/>
    </row>
  </sheetData>
  <sheetProtection sheet="1"/>
  <mergeCells count="3">
    <mergeCell ref="B24:F24"/>
    <mergeCell ref="B26:F26"/>
    <mergeCell ref="B28:F28"/>
  </mergeCells>
  <phoneticPr fontId="1" type="noConversion"/>
  <hyperlinks>
    <hyperlink ref="B24" location="Start!R1C1" display="Click here to jump back to start page" xr:uid="{00000000-0004-0000-0600-000000000000}"/>
    <hyperlink ref="B26:F26" location="'(Sum)'!R1C1" display="Click here to jump to diagrams" xr:uid="{00000000-0004-0000-0600-000001000000}"/>
    <hyperlink ref="B28:F28" location="'(Pies)'!R1C1" display="Click here to jump to pie diagrams" xr:uid="{00000000-0004-0000-0600-000002000000}"/>
  </hyperlinks>
  <pageMargins left="0.15748031496062992" right="0.15748031496062992"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6"/>
  <dimension ref="A1:FC38"/>
  <sheetViews>
    <sheetView showGridLines="0" topLeftCell="C1" zoomScaleNormal="100" workbookViewId="0">
      <selection activeCell="I22" sqref="I22:I33"/>
    </sheetView>
  </sheetViews>
  <sheetFormatPr defaultColWidth="9.140625" defaultRowHeight="11.25" x14ac:dyDescent="0.2"/>
  <cols>
    <col min="1" max="1" width="3.28515625" style="70" customWidth="1"/>
    <col min="2" max="6" width="15.140625" style="71" customWidth="1"/>
    <col min="7" max="7" width="16" style="71" customWidth="1"/>
    <col min="8" max="8" width="15.140625" style="71" customWidth="1"/>
    <col min="9" max="9" width="15.140625" style="76" customWidth="1"/>
    <col min="10" max="10" width="9.140625" style="71"/>
    <col min="11" max="11" width="9.85546875" style="71" customWidth="1"/>
    <col min="12" max="13" width="9.140625" style="71"/>
    <col min="14" max="14" width="10.28515625" style="71" customWidth="1"/>
    <col min="15" max="15" width="9.140625" style="71"/>
    <col min="16" max="21" width="12.5703125" style="76" customWidth="1"/>
    <col min="22" max="27" width="13.140625" style="71" customWidth="1"/>
    <col min="28" max="33" width="12.28515625" style="76" customWidth="1"/>
    <col min="34" max="34" width="3.85546875" style="71" customWidth="1"/>
    <col min="35" max="86" width="9.140625" style="71"/>
    <col min="87" max="87" width="2.42578125" style="71" customWidth="1"/>
    <col min="88" max="149" width="9.140625" style="71"/>
    <col min="150" max="150" width="7.85546875" style="71" customWidth="1"/>
    <col min="151" max="16384" width="9.140625" style="71"/>
  </cols>
  <sheetData>
    <row r="1" spans="1:45" ht="11.25" customHeight="1" x14ac:dyDescent="0.2">
      <c r="D1" s="72"/>
      <c r="E1" s="73"/>
      <c r="F1" s="73"/>
      <c r="G1" s="73"/>
      <c r="H1" s="73"/>
      <c r="I1" s="74"/>
      <c r="K1" s="75"/>
      <c r="T1" s="74"/>
      <c r="U1" s="74"/>
      <c r="V1" s="72"/>
      <c r="W1" s="72"/>
      <c r="X1" s="77"/>
      <c r="Y1" s="77"/>
      <c r="Z1" s="77"/>
      <c r="AA1" s="77"/>
      <c r="AB1" s="78"/>
      <c r="AC1" s="78"/>
      <c r="AD1" s="78"/>
      <c r="AE1" s="78"/>
      <c r="AF1" s="78"/>
      <c r="AG1" s="78"/>
      <c r="AH1" s="77"/>
      <c r="AI1" s="77"/>
      <c r="AJ1" s="77"/>
      <c r="AK1" s="77"/>
      <c r="AL1" s="77"/>
      <c r="AM1" s="79"/>
      <c r="AN1" s="79"/>
      <c r="AO1" s="79"/>
      <c r="AP1" s="79"/>
      <c r="AQ1" s="79"/>
      <c r="AR1" s="77"/>
      <c r="AS1" s="77"/>
    </row>
    <row r="2" spans="1:45" ht="2.25" customHeight="1" x14ac:dyDescent="0.2">
      <c r="L2" s="80"/>
    </row>
    <row r="3" spans="1:45" ht="15.75" customHeight="1" x14ac:dyDescent="0.2">
      <c r="B3" s="81" t="s">
        <v>36</v>
      </c>
      <c r="C3" s="82">
        <f>B20</f>
        <v>2017</v>
      </c>
      <c r="D3" s="83"/>
      <c r="E3" s="83"/>
      <c r="F3" s="83"/>
      <c r="G3" s="83"/>
      <c r="H3" s="83"/>
      <c r="I3" s="84"/>
      <c r="J3" s="83"/>
      <c r="K3" s="85"/>
      <c r="L3" s="778"/>
      <c r="M3" s="779"/>
      <c r="N3" s="779"/>
      <c r="O3" s="779"/>
      <c r="P3" s="779"/>
      <c r="Q3" s="779"/>
      <c r="R3" s="779"/>
      <c r="S3" s="84"/>
      <c r="T3" s="84"/>
      <c r="U3" s="84"/>
      <c r="V3" s="83"/>
      <c r="W3" s="83"/>
      <c r="X3" s="83"/>
      <c r="Y3" s="83"/>
      <c r="Z3" s="83"/>
      <c r="AA3" s="83"/>
      <c r="AB3" s="84"/>
      <c r="AC3" s="84"/>
      <c r="AD3" s="84"/>
      <c r="AE3" s="84"/>
      <c r="AF3" s="84"/>
      <c r="AG3" s="84"/>
    </row>
    <row r="4" spans="1:45" ht="6" customHeight="1" x14ac:dyDescent="0.2">
      <c r="B4" s="70"/>
      <c r="C4" s="70"/>
      <c r="D4" s="70"/>
      <c r="E4" s="70"/>
      <c r="F4" s="70"/>
      <c r="G4" s="70"/>
      <c r="H4" s="70"/>
      <c r="I4" s="84"/>
      <c r="J4" s="83"/>
      <c r="K4" s="83"/>
      <c r="L4" s="779"/>
      <c r="M4" s="779"/>
      <c r="N4" s="779"/>
      <c r="O4" s="779"/>
      <c r="P4" s="779"/>
      <c r="Q4" s="779"/>
      <c r="R4" s="779"/>
      <c r="S4" s="84"/>
      <c r="T4" s="84"/>
      <c r="U4" s="84"/>
      <c r="V4" s="83"/>
      <c r="W4" s="83"/>
      <c r="X4" s="83"/>
      <c r="Y4" s="83"/>
      <c r="Z4" s="83"/>
      <c r="AA4" s="83"/>
      <c r="AB4" s="84"/>
      <c r="AC4" s="84"/>
      <c r="AD4" s="84"/>
      <c r="AE4" s="84"/>
      <c r="AF4" s="84"/>
      <c r="AG4" s="84"/>
    </row>
    <row r="5" spans="1:45" ht="19.5" customHeight="1" x14ac:dyDescent="0.2">
      <c r="B5" s="87" t="s">
        <v>207</v>
      </c>
      <c r="C5" s="87" t="s">
        <v>179</v>
      </c>
      <c r="D5" s="87"/>
      <c r="E5" s="87"/>
      <c r="F5" s="87"/>
      <c r="G5" s="88" t="s">
        <v>208</v>
      </c>
      <c r="I5" s="84"/>
      <c r="J5" s="83"/>
      <c r="K5" s="83"/>
      <c r="L5" s="779"/>
      <c r="M5" s="779"/>
      <c r="N5" s="779"/>
      <c r="O5" s="779"/>
      <c r="P5" s="779"/>
      <c r="Q5" s="779"/>
      <c r="R5" s="779"/>
      <c r="S5" s="84"/>
      <c r="T5" s="84"/>
      <c r="U5" s="84"/>
      <c r="V5" s="83"/>
      <c r="W5" s="83"/>
      <c r="X5" s="83"/>
      <c r="Y5" s="83"/>
      <c r="Z5" s="83"/>
      <c r="AA5" s="83"/>
      <c r="AB5" s="84"/>
      <c r="AC5" s="84"/>
      <c r="AD5" s="84"/>
      <c r="AE5" s="84"/>
      <c r="AF5" s="84"/>
      <c r="AG5" s="84"/>
    </row>
    <row r="6" spans="1:45" ht="17.25" customHeight="1" x14ac:dyDescent="0.2">
      <c r="B6" s="89" t="s">
        <v>93</v>
      </c>
      <c r="C6" s="768" t="s">
        <v>660</v>
      </c>
      <c r="D6" s="769"/>
      <c r="E6" s="769"/>
      <c r="F6" s="770"/>
      <c r="G6" s="718" t="s">
        <v>661</v>
      </c>
      <c r="I6" s="84"/>
      <c r="J6" s="83"/>
      <c r="K6" s="83"/>
      <c r="L6" s="779"/>
      <c r="M6" s="779"/>
      <c r="N6" s="779"/>
      <c r="O6" s="779"/>
      <c r="P6" s="779"/>
      <c r="Q6" s="779"/>
      <c r="R6" s="779"/>
      <c r="S6" s="84"/>
      <c r="T6" s="84"/>
      <c r="U6" s="84"/>
      <c r="V6" s="83"/>
      <c r="W6" s="83"/>
      <c r="X6" s="83"/>
      <c r="Y6" s="83"/>
      <c r="Z6" s="83"/>
      <c r="AA6" s="83"/>
      <c r="AB6" s="84"/>
      <c r="AC6" s="84"/>
      <c r="AD6" s="84"/>
      <c r="AE6" s="84"/>
      <c r="AF6" s="84"/>
      <c r="AG6" s="84"/>
    </row>
    <row r="7" spans="1:45" ht="9.9499999999999993" customHeight="1" x14ac:dyDescent="0.2">
      <c r="B7" s="90"/>
      <c r="C7" s="90"/>
      <c r="D7" s="90"/>
      <c r="E7" s="90"/>
      <c r="F7" s="90"/>
      <c r="G7" s="90"/>
      <c r="I7" s="84"/>
      <c r="J7" s="83"/>
      <c r="K7" s="91"/>
      <c r="L7" s="779"/>
      <c r="M7" s="779"/>
      <c r="N7" s="779"/>
      <c r="O7" s="779"/>
      <c r="P7" s="779"/>
      <c r="Q7" s="779"/>
      <c r="R7" s="779"/>
      <c r="S7" s="84"/>
      <c r="T7" s="84"/>
      <c r="U7" s="84"/>
      <c r="V7" s="83"/>
      <c r="W7" s="83"/>
      <c r="X7" s="83"/>
      <c r="Y7" s="83"/>
      <c r="Z7" s="83"/>
      <c r="AA7" s="83"/>
      <c r="AB7" s="84"/>
      <c r="AC7" s="84"/>
      <c r="AD7" s="84"/>
      <c r="AE7" s="84"/>
      <c r="AF7" s="84"/>
      <c r="AG7" s="84"/>
    </row>
    <row r="8" spans="1:45" ht="17.25" customHeight="1" x14ac:dyDescent="0.2">
      <c r="B8" s="89" t="s">
        <v>94</v>
      </c>
      <c r="C8" s="768" t="s">
        <v>660</v>
      </c>
      <c r="D8" s="769"/>
      <c r="E8" s="769"/>
      <c r="F8" s="770"/>
      <c r="G8" s="718" t="s">
        <v>661</v>
      </c>
      <c r="I8" s="84"/>
      <c r="J8" s="83"/>
      <c r="K8" s="91"/>
      <c r="L8" s="779"/>
      <c r="M8" s="779"/>
      <c r="N8" s="779"/>
      <c r="O8" s="779"/>
      <c r="P8" s="779"/>
      <c r="Q8" s="779"/>
      <c r="R8" s="779"/>
      <c r="S8" s="84"/>
      <c r="T8" s="84"/>
      <c r="U8" s="84"/>
      <c r="V8" s="83"/>
      <c r="W8" s="83"/>
      <c r="X8" s="83"/>
      <c r="Y8" s="83"/>
      <c r="Z8" s="83"/>
      <c r="AA8" s="83"/>
      <c r="AB8" s="84"/>
      <c r="AC8" s="84"/>
      <c r="AD8" s="84"/>
      <c r="AE8" s="84"/>
      <c r="AF8" s="84"/>
      <c r="AG8" s="84"/>
    </row>
    <row r="9" spans="1:45" ht="9.9499999999999993" customHeight="1" x14ac:dyDescent="0.2">
      <c r="B9" s="90"/>
      <c r="C9" s="90"/>
      <c r="D9" s="90"/>
      <c r="E9" s="90"/>
      <c r="F9" s="90"/>
      <c r="G9" s="90"/>
      <c r="I9" s="84"/>
      <c r="J9" s="83"/>
      <c r="K9" s="91"/>
      <c r="L9" s="779"/>
      <c r="M9" s="779"/>
      <c r="N9" s="779"/>
      <c r="O9" s="779"/>
      <c r="P9" s="779"/>
      <c r="Q9" s="779"/>
      <c r="R9" s="779"/>
      <c r="S9" s="84"/>
      <c r="T9" s="84"/>
      <c r="U9" s="84"/>
      <c r="V9" s="83"/>
      <c r="W9" s="83"/>
      <c r="X9" s="83"/>
      <c r="Y9" s="83"/>
      <c r="Z9" s="83"/>
      <c r="AA9" s="83"/>
      <c r="AB9" s="84"/>
      <c r="AC9" s="84"/>
      <c r="AD9" s="84"/>
      <c r="AE9" s="84"/>
      <c r="AF9" s="84"/>
      <c r="AG9" s="84"/>
    </row>
    <row r="10" spans="1:45" ht="17.25" customHeight="1" x14ac:dyDescent="0.2">
      <c r="B10" s="89" t="s">
        <v>95</v>
      </c>
      <c r="C10" s="767"/>
      <c r="D10" s="767"/>
      <c r="E10" s="767"/>
      <c r="F10" s="767"/>
      <c r="G10" s="29"/>
      <c r="I10" s="84"/>
      <c r="J10" s="83"/>
      <c r="K10" s="83"/>
      <c r="L10" s="779"/>
      <c r="M10" s="779"/>
      <c r="N10" s="779"/>
      <c r="O10" s="779"/>
      <c r="P10" s="779"/>
      <c r="Q10" s="779"/>
      <c r="R10" s="779"/>
      <c r="S10" s="84"/>
      <c r="T10" s="84"/>
      <c r="U10" s="84"/>
      <c r="V10" s="83"/>
      <c r="W10" s="83"/>
      <c r="X10" s="83"/>
      <c r="Y10" s="83"/>
      <c r="Z10" s="83"/>
      <c r="AA10" s="83"/>
      <c r="AB10" s="84"/>
      <c r="AC10" s="84"/>
      <c r="AD10" s="84"/>
      <c r="AE10" s="84"/>
      <c r="AF10" s="84"/>
      <c r="AG10" s="84"/>
    </row>
    <row r="11" spans="1:45" ht="9.9499999999999993" customHeight="1" x14ac:dyDescent="0.2">
      <c r="B11" s="90"/>
      <c r="C11" s="90"/>
      <c r="D11" s="90"/>
      <c r="E11" s="90"/>
      <c r="F11" s="90"/>
      <c r="G11" s="90"/>
      <c r="I11" s="84"/>
      <c r="J11" s="83"/>
      <c r="K11" s="83"/>
      <c r="L11" s="779"/>
      <c r="M11" s="779"/>
      <c r="N11" s="779"/>
      <c r="O11" s="779"/>
      <c r="P11" s="779"/>
      <c r="Q11" s="779"/>
      <c r="R11" s="779"/>
      <c r="S11" s="84"/>
      <c r="T11" s="84"/>
      <c r="U11" s="84"/>
      <c r="V11" s="83"/>
      <c r="W11" s="83"/>
      <c r="X11" s="83"/>
      <c r="Y11" s="83"/>
      <c r="Z11" s="83"/>
      <c r="AA11" s="83"/>
      <c r="AB11" s="84"/>
      <c r="AC11" s="84"/>
      <c r="AD11" s="84"/>
      <c r="AE11" s="84"/>
      <c r="AF11" s="84"/>
      <c r="AG11" s="84"/>
    </row>
    <row r="12" spans="1:45" ht="17.25" customHeight="1" x14ac:dyDescent="0.2">
      <c r="B12" s="89" t="s">
        <v>96</v>
      </c>
      <c r="C12" s="767"/>
      <c r="D12" s="767"/>
      <c r="E12" s="767"/>
      <c r="F12" s="767"/>
      <c r="G12" s="29"/>
      <c r="I12" s="84"/>
      <c r="J12" s="83"/>
      <c r="K12" s="83"/>
      <c r="L12" s="779"/>
      <c r="M12" s="779"/>
      <c r="N12" s="779"/>
      <c r="O12" s="779"/>
      <c r="P12" s="779"/>
      <c r="Q12" s="779"/>
      <c r="R12" s="779"/>
      <c r="S12" s="84"/>
      <c r="T12" s="84"/>
      <c r="U12" s="84"/>
      <c r="V12" s="83"/>
      <c r="W12" s="83"/>
      <c r="X12" s="83"/>
      <c r="Y12" s="83"/>
      <c r="Z12" s="83"/>
      <c r="AA12" s="83"/>
      <c r="AB12" s="84"/>
      <c r="AC12" s="84"/>
      <c r="AD12" s="84"/>
      <c r="AE12" s="84"/>
      <c r="AF12" s="84"/>
      <c r="AG12" s="84"/>
    </row>
    <row r="13" spans="1:45" ht="9.9499999999999993" customHeight="1" x14ac:dyDescent="0.2">
      <c r="B13" s="90"/>
      <c r="C13" s="90"/>
      <c r="D13" s="90"/>
      <c r="E13" s="90"/>
      <c r="F13" s="90"/>
      <c r="G13" s="90"/>
      <c r="I13" s="84"/>
      <c r="J13" s="83"/>
      <c r="K13" s="83"/>
      <c r="L13" s="779"/>
      <c r="M13" s="779"/>
      <c r="N13" s="779"/>
      <c r="O13" s="779"/>
      <c r="P13" s="779"/>
      <c r="Q13" s="779"/>
      <c r="R13" s="779"/>
      <c r="S13" s="84"/>
      <c r="T13" s="84"/>
      <c r="U13" s="84"/>
      <c r="V13" s="83"/>
      <c r="W13" s="83"/>
      <c r="X13" s="83"/>
      <c r="Y13" s="83"/>
      <c r="Z13" s="83"/>
      <c r="AA13" s="83"/>
      <c r="AB13" s="84"/>
      <c r="AC13" s="84"/>
      <c r="AD13" s="84"/>
      <c r="AE13" s="84"/>
      <c r="AF13" s="84"/>
      <c r="AG13" s="84"/>
    </row>
    <row r="14" spans="1:45" ht="17.25" customHeight="1" x14ac:dyDescent="0.2">
      <c r="B14" s="89" t="s">
        <v>209</v>
      </c>
      <c r="C14" s="768" t="s">
        <v>660</v>
      </c>
      <c r="D14" s="769"/>
      <c r="E14" s="769"/>
      <c r="F14" s="770"/>
      <c r="G14" s="718" t="s">
        <v>661</v>
      </c>
      <c r="I14" s="84"/>
      <c r="J14" s="83"/>
      <c r="K14" s="83"/>
      <c r="L14" s="779"/>
      <c r="M14" s="779"/>
      <c r="N14" s="779"/>
      <c r="O14" s="779"/>
      <c r="P14" s="779"/>
      <c r="Q14" s="779"/>
      <c r="R14" s="779"/>
      <c r="S14" s="84"/>
      <c r="T14" s="84"/>
      <c r="U14" s="84"/>
      <c r="V14" s="83"/>
      <c r="W14" s="83"/>
      <c r="X14" s="83"/>
      <c r="Y14" s="83"/>
      <c r="Z14" s="83"/>
      <c r="AA14" s="83"/>
      <c r="AB14" s="84"/>
      <c r="AC14" s="84"/>
      <c r="AD14" s="84"/>
      <c r="AE14" s="84"/>
      <c r="AF14" s="84"/>
      <c r="AG14" s="84"/>
    </row>
    <row r="15" spans="1:45" ht="9.9499999999999993" customHeight="1" x14ac:dyDescent="0.2">
      <c r="A15" s="83"/>
      <c r="B15" s="92"/>
      <c r="C15" s="92"/>
      <c r="D15" s="92"/>
      <c r="E15" s="92"/>
      <c r="F15" s="92"/>
      <c r="G15" s="92"/>
      <c r="I15" s="84"/>
      <c r="J15" s="83"/>
      <c r="K15" s="83"/>
      <c r="L15" s="779"/>
      <c r="M15" s="779"/>
      <c r="N15" s="779"/>
      <c r="O15" s="779"/>
      <c r="P15" s="779"/>
      <c r="Q15" s="779"/>
      <c r="R15" s="779"/>
      <c r="S15" s="84"/>
      <c r="T15" s="84"/>
      <c r="U15" s="84"/>
      <c r="V15" s="83"/>
      <c r="W15" s="83"/>
      <c r="X15" s="83"/>
      <c r="Y15" s="83"/>
      <c r="Z15" s="83"/>
      <c r="AA15" s="83"/>
      <c r="AB15" s="84"/>
      <c r="AC15" s="84"/>
      <c r="AD15" s="84"/>
      <c r="AE15" s="84"/>
      <c r="AF15" s="84"/>
      <c r="AG15" s="84"/>
    </row>
    <row r="16" spans="1:45" ht="17.25" customHeight="1" x14ac:dyDescent="0.2">
      <c r="B16" s="89" t="s">
        <v>99</v>
      </c>
      <c r="C16" s="768" t="s">
        <v>660</v>
      </c>
      <c r="D16" s="769"/>
      <c r="E16" s="769"/>
      <c r="F16" s="770"/>
      <c r="G16" s="718" t="s">
        <v>661</v>
      </c>
      <c r="I16" s="84"/>
      <c r="J16" s="83"/>
      <c r="K16" s="83"/>
      <c r="L16" s="779"/>
      <c r="M16" s="779"/>
      <c r="N16" s="779"/>
      <c r="O16" s="779"/>
      <c r="P16" s="779"/>
      <c r="Q16" s="779"/>
      <c r="R16" s="779"/>
      <c r="S16" s="84"/>
      <c r="T16" s="84"/>
      <c r="U16" s="84"/>
      <c r="V16" s="83"/>
      <c r="W16" s="83"/>
      <c r="X16" s="83"/>
      <c r="Y16" s="83"/>
      <c r="Z16" s="83"/>
      <c r="AA16" s="83"/>
      <c r="AB16" s="84"/>
      <c r="AC16" s="84"/>
      <c r="AD16" s="84"/>
      <c r="AE16" s="84"/>
      <c r="AF16" s="84"/>
      <c r="AG16" s="84"/>
    </row>
    <row r="17" spans="1:33" x14ac:dyDescent="0.2">
      <c r="B17" s="90"/>
      <c r="C17" s="90"/>
      <c r="D17" s="90"/>
      <c r="E17" s="90"/>
      <c r="F17" s="90"/>
      <c r="G17" s="90"/>
      <c r="H17" s="90"/>
      <c r="I17" s="84"/>
      <c r="J17" s="83"/>
      <c r="K17" s="83"/>
      <c r="L17" s="779"/>
      <c r="M17" s="779"/>
      <c r="N17" s="779"/>
      <c r="O17" s="779"/>
      <c r="P17" s="779"/>
      <c r="Q17" s="779"/>
      <c r="R17" s="779"/>
      <c r="S17" s="84"/>
      <c r="T17" s="84"/>
      <c r="U17" s="84"/>
      <c r="V17" s="83"/>
      <c r="W17" s="83"/>
      <c r="X17" s="83"/>
      <c r="Y17" s="83"/>
      <c r="Z17" s="83"/>
      <c r="AA17" s="83"/>
      <c r="AB17" s="84"/>
      <c r="AC17" s="84"/>
      <c r="AD17" s="84"/>
      <c r="AE17" s="84"/>
      <c r="AF17" s="84"/>
      <c r="AG17" s="84"/>
    </row>
    <row r="18" spans="1:33" ht="14.25" customHeight="1" x14ac:dyDescent="0.2"/>
    <row r="19" spans="1:33" s="100" customFormat="1" ht="21" customHeight="1" thickBot="1" x14ac:dyDescent="0.25">
      <c r="A19" s="93"/>
      <c r="B19" s="94" t="s">
        <v>92</v>
      </c>
      <c r="C19" s="95"/>
      <c r="D19" s="95"/>
      <c r="E19" s="95"/>
      <c r="F19" s="95"/>
      <c r="G19" s="95"/>
      <c r="H19" s="95"/>
      <c r="I19" s="96"/>
      <c r="J19" s="94" t="s">
        <v>98</v>
      </c>
      <c r="K19" s="95"/>
      <c r="L19" s="95"/>
      <c r="M19" s="95"/>
      <c r="N19" s="95"/>
      <c r="O19" s="97"/>
      <c r="P19" s="98" t="s">
        <v>173</v>
      </c>
      <c r="Q19" s="96"/>
      <c r="R19" s="96"/>
      <c r="S19" s="96"/>
      <c r="T19" s="96"/>
      <c r="U19" s="99"/>
      <c r="V19" s="94" t="s">
        <v>97</v>
      </c>
      <c r="W19" s="95"/>
      <c r="X19" s="95"/>
      <c r="Y19" s="95"/>
      <c r="Z19" s="95"/>
      <c r="AA19" s="97"/>
      <c r="AB19" s="98" t="s">
        <v>174</v>
      </c>
      <c r="AC19" s="96"/>
      <c r="AD19" s="96"/>
      <c r="AE19" s="96"/>
      <c r="AF19" s="96"/>
      <c r="AG19" s="99"/>
    </row>
    <row r="20" spans="1:33" ht="14.25" customHeight="1" x14ac:dyDescent="0.2">
      <c r="B20" s="776">
        <f>Start!O5</f>
        <v>2017</v>
      </c>
      <c r="C20" s="101" t="s">
        <v>65</v>
      </c>
      <c r="D20" s="102" t="s">
        <v>66</v>
      </c>
      <c r="E20" s="102" t="s">
        <v>67</v>
      </c>
      <c r="F20" s="102" t="s">
        <v>68</v>
      </c>
      <c r="G20" s="103" t="s">
        <v>101</v>
      </c>
      <c r="H20" s="103" t="s">
        <v>100</v>
      </c>
      <c r="I20" s="104" t="s">
        <v>105</v>
      </c>
      <c r="J20" s="101" t="s">
        <v>65</v>
      </c>
      <c r="K20" s="102" t="s">
        <v>66</v>
      </c>
      <c r="L20" s="102" t="s">
        <v>67</v>
      </c>
      <c r="M20" s="102" t="s">
        <v>68</v>
      </c>
      <c r="N20" s="103" t="s">
        <v>101</v>
      </c>
      <c r="O20" s="105" t="s">
        <v>100</v>
      </c>
      <c r="P20" s="106" t="s">
        <v>65</v>
      </c>
      <c r="Q20" s="107" t="s">
        <v>66</v>
      </c>
      <c r="R20" s="107" t="s">
        <v>67</v>
      </c>
      <c r="S20" s="107" t="s">
        <v>68</v>
      </c>
      <c r="T20" s="108" t="s">
        <v>101</v>
      </c>
      <c r="U20" s="108" t="s">
        <v>100</v>
      </c>
      <c r="V20" s="109" t="s">
        <v>65</v>
      </c>
      <c r="W20" s="102" t="s">
        <v>66</v>
      </c>
      <c r="X20" s="102" t="s">
        <v>67</v>
      </c>
      <c r="Y20" s="102" t="s">
        <v>68</v>
      </c>
      <c r="Z20" s="103" t="s">
        <v>101</v>
      </c>
      <c r="AA20" s="105" t="s">
        <v>100</v>
      </c>
      <c r="AB20" s="106" t="s">
        <v>65</v>
      </c>
      <c r="AC20" s="107" t="s">
        <v>66</v>
      </c>
      <c r="AD20" s="107" t="s">
        <v>67</v>
      </c>
      <c r="AE20" s="107" t="s">
        <v>68</v>
      </c>
      <c r="AF20" s="108" t="s">
        <v>101</v>
      </c>
      <c r="AG20" s="110" t="s">
        <v>100</v>
      </c>
    </row>
    <row r="21" spans="1:33" ht="14.25" customHeight="1" x14ac:dyDescent="0.2">
      <c r="B21" s="777"/>
      <c r="C21" s="101" t="str">
        <f>IF(G6="","","["&amp;G6&amp;"]")</f>
        <v>[Ton]</v>
      </c>
      <c r="D21" s="102" t="str">
        <f>IF(G8="","","["&amp;G8&amp;"]")</f>
        <v>[Ton]</v>
      </c>
      <c r="E21" s="102" t="str">
        <f>IF(G10="","","["&amp;G10&amp;"]")</f>
        <v/>
      </c>
      <c r="F21" s="102" t="str">
        <f>IF(G12="","","["&amp;G12&amp;"]")</f>
        <v/>
      </c>
      <c r="G21" s="103" t="str">
        <f>IF(G14="","","["&amp;G14&amp;"]")</f>
        <v>[Ton]</v>
      </c>
      <c r="H21" s="103" t="str">
        <f>IF(G16="","","["&amp;G16&amp;"]")</f>
        <v>[Ton]</v>
      </c>
      <c r="I21" s="111" t="str">
        <f>U21</f>
        <v>[kWh/Ton]</v>
      </c>
      <c r="J21" s="101" t="s">
        <v>13</v>
      </c>
      <c r="K21" s="102" t="s">
        <v>13</v>
      </c>
      <c r="L21" s="102" t="s">
        <v>13</v>
      </c>
      <c r="M21" s="102" t="s">
        <v>13</v>
      </c>
      <c r="N21" s="102" t="s">
        <v>13</v>
      </c>
      <c r="O21" s="105" t="s">
        <v>13</v>
      </c>
      <c r="P21" s="106" t="str">
        <f>"[kWh/"&amp;G6&amp;"]"</f>
        <v>[kWh/Ton]</v>
      </c>
      <c r="Q21" s="107" t="str">
        <f>"[kWh/"&amp;G8&amp;"]"</f>
        <v>[kWh/Ton]</v>
      </c>
      <c r="R21" s="107" t="str">
        <f>"[kWh/"&amp;G10&amp;"]"</f>
        <v>[kWh/]</v>
      </c>
      <c r="S21" s="107" t="str">
        <f>"[kWh/"&amp;G12&amp;"]"</f>
        <v>[kWh/]</v>
      </c>
      <c r="T21" s="108" t="str">
        <f>"[kWh/"&amp;G14&amp;"]"</f>
        <v>[kWh/Ton]</v>
      </c>
      <c r="U21" s="108" t="str">
        <f>"[kWh/"&amp;G16&amp;"]"</f>
        <v>[kWh/Ton]</v>
      </c>
      <c r="V21" s="109" t="str">
        <f>"["&amp;Start!$O$7&amp;"]"</f>
        <v>[$]</v>
      </c>
      <c r="W21" s="102" t="str">
        <f>"["&amp;Start!$O$7&amp;"]"</f>
        <v>[$]</v>
      </c>
      <c r="X21" s="102" t="str">
        <f>"["&amp;Start!$O$7&amp;"]"</f>
        <v>[$]</v>
      </c>
      <c r="Y21" s="102" t="str">
        <f>"["&amp;Start!$O$7&amp;"]"</f>
        <v>[$]</v>
      </c>
      <c r="Z21" s="103" t="str">
        <f>"["&amp;Start!$O$7&amp;"]"</f>
        <v>[$]</v>
      </c>
      <c r="AA21" s="105" t="str">
        <f>"["&amp;Start!$O$7&amp;"]"</f>
        <v>[$]</v>
      </c>
      <c r="AB21" s="106" t="str">
        <f>"["&amp;Start!$O$7&amp;"/"&amp;G6&amp;"]"</f>
        <v>[$/Ton]</v>
      </c>
      <c r="AC21" s="107" t="str">
        <f>"["&amp;Start!$O$7&amp;"/"&amp;G8&amp;"]"</f>
        <v>[$/Ton]</v>
      </c>
      <c r="AD21" s="107" t="str">
        <f>"["&amp;Start!$O$7&amp;"/"&amp;KPI!G10&amp;"]"</f>
        <v>[$/]</v>
      </c>
      <c r="AE21" s="107" t="str">
        <f>"["&amp;Start!$O$7&amp;"/"&amp;G12&amp;"]"</f>
        <v>[$/]</v>
      </c>
      <c r="AF21" s="108" t="str">
        <f>"["&amp;Start!$O$7&amp;"/"&amp;G14&amp;"]"</f>
        <v>[$/Ton]</v>
      </c>
      <c r="AG21" s="110" t="str">
        <f>"["&amp;Start!$O$7&amp;"/"&amp;G16&amp;"]"</f>
        <v>[$/Ton]</v>
      </c>
    </row>
    <row r="22" spans="1:33" ht="14.25" customHeight="1" x14ac:dyDescent="0.2">
      <c r="A22" s="70" t="str">
        <f>B22&amp;C3</f>
        <v>Jan2017</v>
      </c>
      <c r="B22" s="112" t="s">
        <v>0</v>
      </c>
      <c r="C22" s="706">
        <v>5243.8011999999999</v>
      </c>
      <c r="D22" s="706">
        <v>5243.8011999999999</v>
      </c>
      <c r="E22" s="706"/>
      <c r="F22" s="706"/>
      <c r="G22" s="706">
        <v>5243.8011999999999</v>
      </c>
      <c r="H22" s="706">
        <v>5243.8011999999999</v>
      </c>
      <c r="I22" s="707">
        <v>226.64663032424599</v>
      </c>
      <c r="J22" s="113">
        <f>Sum!C10</f>
        <v>921954.00000000023</v>
      </c>
      <c r="K22" s="114">
        <f>Sum!D10</f>
        <v>624712.5</v>
      </c>
      <c r="L22" s="114">
        <f>Sum!E10</f>
        <v>0</v>
      </c>
      <c r="M22" s="114">
        <f>Sum!F10</f>
        <v>0</v>
      </c>
      <c r="N22" s="115">
        <f>SUM(K22:M22)</f>
        <v>624712.5</v>
      </c>
      <c r="O22" s="116">
        <f>SUM(J22:M22)</f>
        <v>1546666.5000000002</v>
      </c>
      <c r="P22" s="117">
        <f t="shared" ref="P22:U22" si="0">IF(ISERROR(J22/C22),"",J22/C22)</f>
        <v>175.81787806906186</v>
      </c>
      <c r="Q22" s="118">
        <f t="shared" si="0"/>
        <v>119.13352092752868</v>
      </c>
      <c r="R22" s="118" t="str">
        <f t="shared" si="0"/>
        <v/>
      </c>
      <c r="S22" s="118" t="str">
        <f t="shared" si="0"/>
        <v/>
      </c>
      <c r="T22" s="119">
        <f t="shared" si="0"/>
        <v>119.13352092752868</v>
      </c>
      <c r="U22" s="119">
        <f t="shared" si="0"/>
        <v>294.95139899659051</v>
      </c>
      <c r="V22" s="120">
        <f>Sum!H10</f>
        <v>39539.709481998121</v>
      </c>
      <c r="W22" s="114">
        <f>Sum!I10</f>
        <v>4271.7020204836754</v>
      </c>
      <c r="X22" s="114">
        <f>Sum!J10</f>
        <v>0</v>
      </c>
      <c r="Y22" s="114">
        <f>Sum!K10</f>
        <v>0</v>
      </c>
      <c r="Z22" s="115">
        <f>SUM(W22:Y22)</f>
        <v>4271.7020204836754</v>
      </c>
      <c r="AA22" s="116">
        <f>SUM(V22:Y22)</f>
        <v>43811.411502481795</v>
      </c>
      <c r="AB22" s="117">
        <f t="shared" ref="AB22:AB33" si="1">IF(ISERROR(V22/C22),"",V22/C22)</f>
        <v>7.5402762183276746</v>
      </c>
      <c r="AC22" s="118">
        <f t="shared" ref="AC22:AC33" si="2">IF(ISERROR(W22/D22),"",W22/D22)</f>
        <v>0.81461936819490322</v>
      </c>
      <c r="AD22" s="118" t="str">
        <f t="shared" ref="AD22:AD33" si="3">IF(ISERROR(X22/E22),"",X22/E22)</f>
        <v/>
      </c>
      <c r="AE22" s="118" t="str">
        <f t="shared" ref="AE22:AE33" si="4">IF(ISERROR(Y22/F22),"",Y22/F22)</f>
        <v/>
      </c>
      <c r="AF22" s="119">
        <f t="shared" ref="AF22:AF33" si="5">IF(ISERROR(Z22/G22),"",Z22/G22)</f>
        <v>0.81461936819490322</v>
      </c>
      <c r="AG22" s="121">
        <f t="shared" ref="AG22:AG33" si="6">IF(ISERROR(AA22/H22),"",AA22/H22)</f>
        <v>8.3548955865225771</v>
      </c>
    </row>
    <row r="23" spans="1:33" ht="14.25" customHeight="1" x14ac:dyDescent="0.2">
      <c r="A23" s="70" t="str">
        <f>B23&amp;C3</f>
        <v>Feb2017</v>
      </c>
      <c r="B23" s="109" t="s">
        <v>1</v>
      </c>
      <c r="C23" s="706">
        <v>3895.6006000000002</v>
      </c>
      <c r="D23" s="706">
        <v>3895.6006000000002</v>
      </c>
      <c r="E23" s="706"/>
      <c r="F23" s="706"/>
      <c r="G23" s="706">
        <v>3895.6006000000002</v>
      </c>
      <c r="H23" s="706">
        <v>3895.6006000000002</v>
      </c>
      <c r="I23" s="707">
        <v>226.64663032424599</v>
      </c>
      <c r="J23" s="113">
        <f>Sum!C11</f>
        <v>926046.00000000012</v>
      </c>
      <c r="K23" s="114">
        <f>Sum!D11</f>
        <v>791088.75</v>
      </c>
      <c r="L23" s="114">
        <f>Sum!E11</f>
        <v>0</v>
      </c>
      <c r="M23" s="114">
        <f>Sum!F11</f>
        <v>0</v>
      </c>
      <c r="N23" s="115">
        <f t="shared" ref="N23:N33" si="7">SUM(K23:M23)</f>
        <v>791088.75</v>
      </c>
      <c r="O23" s="116">
        <f t="shared" ref="O23:O33" si="8">SUM(J23:M23)</f>
        <v>1717134.75</v>
      </c>
      <c r="P23" s="117">
        <f t="shared" ref="P23:P33" si="9">IF(ISERROR(J23/C23),"",J23/C23)</f>
        <v>237.71584797476416</v>
      </c>
      <c r="Q23" s="118">
        <f t="shared" ref="Q23:Q33" si="10">IF(ISERROR(K23/D23),"",K23/D23)</f>
        <v>203.07234525017785</v>
      </c>
      <c r="R23" s="118" t="str">
        <f t="shared" ref="R23:R33" si="11">IF(ISERROR(L23/E23),"",L23/E23)</f>
        <v/>
      </c>
      <c r="S23" s="118" t="str">
        <f t="shared" ref="S23:S33" si="12">IF(ISERROR(M23/F23),"",M23/F23)</f>
        <v/>
      </c>
      <c r="T23" s="119">
        <f>IF(ISERROR(N23/G23),"",N23/G23)</f>
        <v>203.07234525017785</v>
      </c>
      <c r="U23" s="119">
        <f>IF(ISERROR(O23/H23),"",O23/H23)</f>
        <v>440.78819322494201</v>
      </c>
      <c r="V23" s="120">
        <f>Sum!H11</f>
        <v>39241.913318168881</v>
      </c>
      <c r="W23" s="114">
        <f>Sum!I11</f>
        <v>5434.3497082192407</v>
      </c>
      <c r="X23" s="114">
        <f>Sum!J11</f>
        <v>0</v>
      </c>
      <c r="Y23" s="114">
        <f>Sum!K11</f>
        <v>0</v>
      </c>
      <c r="Z23" s="115">
        <f t="shared" ref="Z23:Z33" si="13">SUM(W23:Y23)</f>
        <v>5434.3497082192407</v>
      </c>
      <c r="AA23" s="116">
        <f t="shared" ref="AA23:AA33" si="14">SUM(V23:Y23)</f>
        <v>44676.263026388122</v>
      </c>
      <c r="AB23" s="117">
        <f t="shared" si="1"/>
        <v>10.073392359106034</v>
      </c>
      <c r="AC23" s="118">
        <f t="shared" si="2"/>
        <v>1.3949966298442507</v>
      </c>
      <c r="AD23" s="118" t="str">
        <f t="shared" si="3"/>
        <v/>
      </c>
      <c r="AE23" s="118" t="str">
        <f t="shared" si="4"/>
        <v/>
      </c>
      <c r="AF23" s="119">
        <f t="shared" si="5"/>
        <v>1.3949966298442507</v>
      </c>
      <c r="AG23" s="121">
        <f t="shared" si="6"/>
        <v>11.468388988950284</v>
      </c>
    </row>
    <row r="24" spans="1:33" ht="14.25" customHeight="1" x14ac:dyDescent="0.2">
      <c r="A24" s="70" t="str">
        <f>B24&amp;C3</f>
        <v>Mar2017</v>
      </c>
      <c r="B24" s="109" t="s">
        <v>2</v>
      </c>
      <c r="C24" s="706">
        <v>7943.2542000000021</v>
      </c>
      <c r="D24" s="706">
        <v>7943.2542000000021</v>
      </c>
      <c r="E24" s="706"/>
      <c r="F24" s="706"/>
      <c r="G24" s="706">
        <v>7943.2542000000021</v>
      </c>
      <c r="H24" s="706">
        <v>7943.2542000000021</v>
      </c>
      <c r="I24" s="707">
        <v>226.64663032424599</v>
      </c>
      <c r="J24" s="113">
        <f>Sum!C12</f>
        <v>934136</v>
      </c>
      <c r="K24" s="114">
        <f>Sum!D12</f>
        <v>905433.75</v>
      </c>
      <c r="L24" s="114">
        <f>Sum!E12</f>
        <v>0</v>
      </c>
      <c r="M24" s="114">
        <f>Sum!F12</f>
        <v>0</v>
      </c>
      <c r="N24" s="115">
        <f t="shared" si="7"/>
        <v>905433.75</v>
      </c>
      <c r="O24" s="116">
        <f t="shared" si="8"/>
        <v>1839569.75</v>
      </c>
      <c r="P24" s="117">
        <f t="shared" si="9"/>
        <v>117.60117157021108</v>
      </c>
      <c r="Q24" s="118">
        <f t="shared" si="10"/>
        <v>113.98775957591786</v>
      </c>
      <c r="R24" s="118" t="str">
        <f t="shared" si="11"/>
        <v/>
      </c>
      <c r="S24" s="118" t="str">
        <f t="shared" si="12"/>
        <v/>
      </c>
      <c r="T24" s="119">
        <f t="shared" ref="T24:T33" si="15">IF(ISERROR(N24/G24),"",N24/G24)</f>
        <v>113.98775957591786</v>
      </c>
      <c r="U24" s="119">
        <f t="shared" ref="U24:U33" si="16">IF(ISERROR(O24/H24),"",O24/H24)</f>
        <v>231.58893114612894</v>
      </c>
      <c r="V24" s="120">
        <f>Sum!H12</f>
        <v>37650.411886118884</v>
      </c>
      <c r="W24" s="114">
        <f>Sum!I12</f>
        <v>6973.2112456379491</v>
      </c>
      <c r="X24" s="114">
        <f>Sum!J12</f>
        <v>0</v>
      </c>
      <c r="Y24" s="114">
        <f>Sum!K12</f>
        <v>0</v>
      </c>
      <c r="Z24" s="115">
        <f t="shared" si="13"/>
        <v>6973.2112456379491</v>
      </c>
      <c r="AA24" s="116">
        <f t="shared" si="14"/>
        <v>44623.623131756831</v>
      </c>
      <c r="AB24" s="117">
        <f t="shared" si="1"/>
        <v>4.7399228248441139</v>
      </c>
      <c r="AC24" s="118">
        <f t="shared" si="2"/>
        <v>0.87787839468085349</v>
      </c>
      <c r="AD24" s="118" t="str">
        <f t="shared" si="3"/>
        <v/>
      </c>
      <c r="AE24" s="118" t="str">
        <f t="shared" si="4"/>
        <v/>
      </c>
      <c r="AF24" s="119">
        <f t="shared" si="5"/>
        <v>0.87787839468085349</v>
      </c>
      <c r="AG24" s="121">
        <f t="shared" si="6"/>
        <v>5.6178012195249671</v>
      </c>
    </row>
    <row r="25" spans="1:33" ht="14.25" customHeight="1" x14ac:dyDescent="0.2">
      <c r="A25" s="70" t="str">
        <f>B25&amp;C3</f>
        <v>Apr2017</v>
      </c>
      <c r="B25" s="109" t="s">
        <v>3</v>
      </c>
      <c r="C25" s="706">
        <v>8762.0310399999998</v>
      </c>
      <c r="D25" s="706">
        <v>8762.0310399999998</v>
      </c>
      <c r="E25" s="706"/>
      <c r="F25" s="706"/>
      <c r="G25" s="706">
        <v>8762.0310399999998</v>
      </c>
      <c r="H25" s="706">
        <v>8762.0310399999998</v>
      </c>
      <c r="I25" s="707">
        <v>226.64663032424599</v>
      </c>
      <c r="J25" s="113">
        <f>Sum!C13</f>
        <v>1154254</v>
      </c>
      <c r="K25" s="114">
        <f>Sum!D13</f>
        <v>918855</v>
      </c>
      <c r="L25" s="114">
        <f>Sum!E13</f>
        <v>0</v>
      </c>
      <c r="M25" s="114">
        <f>Sum!F13</f>
        <v>0</v>
      </c>
      <c r="N25" s="115">
        <f t="shared" si="7"/>
        <v>918855</v>
      </c>
      <c r="O25" s="116">
        <f t="shared" si="8"/>
        <v>2073109</v>
      </c>
      <c r="P25" s="117">
        <f t="shared" si="9"/>
        <v>131.73361230183454</v>
      </c>
      <c r="Q25" s="118">
        <f t="shared" si="10"/>
        <v>104.86780927906871</v>
      </c>
      <c r="R25" s="118" t="str">
        <f t="shared" si="11"/>
        <v/>
      </c>
      <c r="S25" s="118" t="str">
        <f t="shared" si="12"/>
        <v/>
      </c>
      <c r="T25" s="119">
        <f t="shared" si="15"/>
        <v>104.86780927906871</v>
      </c>
      <c r="U25" s="119">
        <f t="shared" si="16"/>
        <v>236.60142158090324</v>
      </c>
      <c r="V25" s="120">
        <f>Sum!H13</f>
        <v>45941.428388457258</v>
      </c>
      <c r="W25" s="114">
        <f>Sum!I13</f>
        <v>7106.4675032693804</v>
      </c>
      <c r="X25" s="114">
        <f>Sum!J13</f>
        <v>0</v>
      </c>
      <c r="Y25" s="114">
        <f>Sum!K13</f>
        <v>0</v>
      </c>
      <c r="Z25" s="115">
        <f t="shared" si="13"/>
        <v>7106.4675032693804</v>
      </c>
      <c r="AA25" s="116">
        <f t="shared" si="14"/>
        <v>53047.895891726635</v>
      </c>
      <c r="AB25" s="117">
        <f t="shared" si="1"/>
        <v>5.2432396300272934</v>
      </c>
      <c r="AC25" s="118">
        <f t="shared" si="2"/>
        <v>0.81105253688639989</v>
      </c>
      <c r="AD25" s="118" t="str">
        <f t="shared" si="3"/>
        <v/>
      </c>
      <c r="AE25" s="118" t="str">
        <f t="shared" si="4"/>
        <v/>
      </c>
      <c r="AF25" s="119">
        <f t="shared" si="5"/>
        <v>0.81105253688639989</v>
      </c>
      <c r="AG25" s="121">
        <f t="shared" si="6"/>
        <v>6.0542921669136929</v>
      </c>
    </row>
    <row r="26" spans="1:33" ht="14.25" customHeight="1" x14ac:dyDescent="0.2">
      <c r="A26" s="70" t="str">
        <f>B26&amp;C3</f>
        <v>May2017</v>
      </c>
      <c r="B26" s="109" t="s">
        <v>4</v>
      </c>
      <c r="C26" s="706">
        <v>10215.446565</v>
      </c>
      <c r="D26" s="706">
        <v>10215.446565</v>
      </c>
      <c r="E26" s="706"/>
      <c r="F26" s="706"/>
      <c r="G26" s="706">
        <v>10215.446565</v>
      </c>
      <c r="H26" s="706">
        <v>10215.446565</v>
      </c>
      <c r="I26" s="707">
        <v>226.64663032424599</v>
      </c>
      <c r="J26" s="113">
        <f>Sum!C14</f>
        <v>1339322.0000000002</v>
      </c>
      <c r="K26" s="114">
        <f>Sum!D14</f>
        <v>1447920</v>
      </c>
      <c r="L26" s="114">
        <f>Sum!E14</f>
        <v>0</v>
      </c>
      <c r="M26" s="114">
        <f>Sum!F14</f>
        <v>0</v>
      </c>
      <c r="N26" s="115">
        <f t="shared" si="7"/>
        <v>1447920</v>
      </c>
      <c r="O26" s="116">
        <f t="shared" si="8"/>
        <v>2787242</v>
      </c>
      <c r="P26" s="117">
        <f t="shared" si="9"/>
        <v>131.10753323195522</v>
      </c>
      <c r="Q26" s="118">
        <f t="shared" si="10"/>
        <v>141.7382970765899</v>
      </c>
      <c r="R26" s="118" t="str">
        <f t="shared" si="11"/>
        <v/>
      </c>
      <c r="S26" s="118" t="str">
        <f t="shared" si="12"/>
        <v/>
      </c>
      <c r="T26" s="119">
        <f t="shared" si="15"/>
        <v>141.7382970765899</v>
      </c>
      <c r="U26" s="119">
        <f t="shared" si="16"/>
        <v>272.84583030854509</v>
      </c>
      <c r="V26" s="120">
        <f>Sum!H14</f>
        <v>55963.532212730453</v>
      </c>
      <c r="W26" s="114">
        <f>Sum!I14</f>
        <v>11153.149532778491</v>
      </c>
      <c r="X26" s="114">
        <f>Sum!J14</f>
        <v>0</v>
      </c>
      <c r="Y26" s="114">
        <f>Sum!K14</f>
        <v>0</v>
      </c>
      <c r="Z26" s="115">
        <f t="shared" si="13"/>
        <v>11153.149532778491</v>
      </c>
      <c r="AA26" s="116">
        <f t="shared" si="14"/>
        <v>67116.681745508948</v>
      </c>
      <c r="AB26" s="117">
        <f t="shared" si="1"/>
        <v>5.4783245995796026</v>
      </c>
      <c r="AC26" s="118">
        <f t="shared" si="2"/>
        <v>1.0917926555449111</v>
      </c>
      <c r="AD26" s="118" t="str">
        <f t="shared" si="3"/>
        <v/>
      </c>
      <c r="AE26" s="118" t="str">
        <f t="shared" si="4"/>
        <v/>
      </c>
      <c r="AF26" s="119">
        <f t="shared" si="5"/>
        <v>1.0917926555449111</v>
      </c>
      <c r="AG26" s="121">
        <f t="shared" si="6"/>
        <v>6.5701172551245142</v>
      </c>
    </row>
    <row r="27" spans="1:33" ht="14.25" customHeight="1" x14ac:dyDescent="0.2">
      <c r="A27" s="70" t="str">
        <f>B27&amp;C3</f>
        <v>Jun2017</v>
      </c>
      <c r="B27" s="109" t="s">
        <v>5</v>
      </c>
      <c r="C27" s="706">
        <v>13585.664350000001</v>
      </c>
      <c r="D27" s="706">
        <v>13585.664350000001</v>
      </c>
      <c r="E27" s="706"/>
      <c r="F27" s="706"/>
      <c r="G27" s="706">
        <v>13585.664350000001</v>
      </c>
      <c r="H27" s="706">
        <v>13585.664350000001</v>
      </c>
      <c r="I27" s="707">
        <v>226.64663032424599</v>
      </c>
      <c r="J27" s="113">
        <f>Sum!C15</f>
        <v>1579478.9999999998</v>
      </c>
      <c r="K27" s="114">
        <f>Sum!D15</f>
        <v>1440956.25</v>
      </c>
      <c r="L27" s="114">
        <f>Sum!E15</f>
        <v>0</v>
      </c>
      <c r="M27" s="114">
        <f>Sum!F15</f>
        <v>0</v>
      </c>
      <c r="N27" s="115">
        <f t="shared" si="7"/>
        <v>1440956.25</v>
      </c>
      <c r="O27" s="116">
        <f t="shared" si="8"/>
        <v>3020435.25</v>
      </c>
      <c r="P27" s="117">
        <f t="shared" si="9"/>
        <v>116.26071124008004</v>
      </c>
      <c r="Q27" s="118">
        <f t="shared" si="10"/>
        <v>106.06446713811238</v>
      </c>
      <c r="R27" s="118" t="str">
        <f t="shared" si="11"/>
        <v/>
      </c>
      <c r="S27" s="118" t="str">
        <f t="shared" si="12"/>
        <v/>
      </c>
      <c r="T27" s="119">
        <f t="shared" si="15"/>
        <v>106.06446713811238</v>
      </c>
      <c r="U27" s="119">
        <f t="shared" si="16"/>
        <v>222.32517837819245</v>
      </c>
      <c r="V27" s="120">
        <f>Sum!H15</f>
        <v>67537.448956051769</v>
      </c>
      <c r="W27" s="114">
        <f>Sum!I15</f>
        <v>10819.13720463883</v>
      </c>
      <c r="X27" s="114">
        <f>Sum!J15</f>
        <v>0</v>
      </c>
      <c r="Y27" s="114">
        <f>Sum!K15</f>
        <v>0</v>
      </c>
      <c r="Z27" s="115">
        <f t="shared" si="13"/>
        <v>10819.13720463883</v>
      </c>
      <c r="AA27" s="116">
        <f t="shared" si="14"/>
        <v>78356.586160690596</v>
      </c>
      <c r="AB27" s="117">
        <f t="shared" si="1"/>
        <v>4.9712290261353145</v>
      </c>
      <c r="AC27" s="118">
        <f t="shared" si="2"/>
        <v>0.79636423555825808</v>
      </c>
      <c r="AD27" s="118" t="str">
        <f t="shared" si="3"/>
        <v/>
      </c>
      <c r="AE27" s="118" t="str">
        <f t="shared" si="4"/>
        <v/>
      </c>
      <c r="AF27" s="119">
        <f t="shared" si="5"/>
        <v>0.79636423555825808</v>
      </c>
      <c r="AG27" s="121">
        <f t="shared" si="6"/>
        <v>5.7675932616935723</v>
      </c>
    </row>
    <row r="28" spans="1:33" ht="14.25" customHeight="1" x14ac:dyDescent="0.2">
      <c r="A28" s="70" t="str">
        <f>B28&amp;C3</f>
        <v>Jul2017</v>
      </c>
      <c r="B28" s="109" t="s">
        <v>6</v>
      </c>
      <c r="C28" s="706">
        <v>10536.98964</v>
      </c>
      <c r="D28" s="706">
        <v>10536.98964</v>
      </c>
      <c r="E28" s="706"/>
      <c r="F28" s="706"/>
      <c r="G28" s="706">
        <v>10536.98964</v>
      </c>
      <c r="H28" s="706">
        <v>10536.98964</v>
      </c>
      <c r="I28" s="707">
        <v>226.64663032424599</v>
      </c>
      <c r="J28" s="113">
        <f>Sum!C16</f>
        <v>1173908</v>
      </c>
      <c r="K28" s="114">
        <f>Sum!D16</f>
        <v>845336.25</v>
      </c>
      <c r="L28" s="114">
        <f>Sum!E16</f>
        <v>0</v>
      </c>
      <c r="M28" s="114">
        <f>Sum!F16</f>
        <v>0</v>
      </c>
      <c r="N28" s="115">
        <f t="shared" si="7"/>
        <v>845336.25</v>
      </c>
      <c r="O28" s="116">
        <f t="shared" si="8"/>
        <v>2019244.25</v>
      </c>
      <c r="P28" s="117">
        <f t="shared" si="9"/>
        <v>111.40829023345229</v>
      </c>
      <c r="Q28" s="118">
        <f t="shared" si="10"/>
        <v>80.225593730393001</v>
      </c>
      <c r="R28" s="118" t="str">
        <f t="shared" si="11"/>
        <v/>
      </c>
      <c r="S28" s="118" t="str">
        <f t="shared" si="12"/>
        <v/>
      </c>
      <c r="T28" s="119">
        <f t="shared" si="15"/>
        <v>80.225593730393001</v>
      </c>
      <c r="U28" s="119">
        <f t="shared" si="16"/>
        <v>191.63388396384531</v>
      </c>
      <c r="V28" s="120">
        <f>Sum!H16</f>
        <v>65632.79139887527</v>
      </c>
      <c r="W28" s="114">
        <f>Sum!I16</f>
        <v>6301.3670415238967</v>
      </c>
      <c r="X28" s="114">
        <f>Sum!J16</f>
        <v>0</v>
      </c>
      <c r="Y28" s="114">
        <f>Sum!K16</f>
        <v>0</v>
      </c>
      <c r="Z28" s="115">
        <f t="shared" si="13"/>
        <v>6301.3670415238967</v>
      </c>
      <c r="AA28" s="116">
        <f t="shared" si="14"/>
        <v>71934.158440399173</v>
      </c>
      <c r="AB28" s="117">
        <f t="shared" si="1"/>
        <v>6.2287990822087655</v>
      </c>
      <c r="AC28" s="118">
        <f t="shared" si="2"/>
        <v>0.59802346370380377</v>
      </c>
      <c r="AD28" s="118" t="str">
        <f t="shared" si="3"/>
        <v/>
      </c>
      <c r="AE28" s="118" t="str">
        <f t="shared" si="4"/>
        <v/>
      </c>
      <c r="AF28" s="119">
        <f t="shared" si="5"/>
        <v>0.59802346370380377</v>
      </c>
      <c r="AG28" s="121">
        <f t="shared" si="6"/>
        <v>6.8268225459125702</v>
      </c>
    </row>
    <row r="29" spans="1:33" ht="14.25" customHeight="1" x14ac:dyDescent="0.2">
      <c r="A29" s="70" t="str">
        <f>B29&amp;C3</f>
        <v>Aug2017</v>
      </c>
      <c r="B29" s="109" t="s">
        <v>7</v>
      </c>
      <c r="C29" s="706">
        <v>12580.607435</v>
      </c>
      <c r="D29" s="706">
        <v>12580.607435</v>
      </c>
      <c r="E29" s="706"/>
      <c r="F29" s="706"/>
      <c r="G29" s="706">
        <v>12580.607435</v>
      </c>
      <c r="H29" s="706">
        <v>12580.607435</v>
      </c>
      <c r="I29" s="707">
        <v>226.64663032424599</v>
      </c>
      <c r="J29" s="113">
        <f>Sum!C17</f>
        <v>1374111</v>
      </c>
      <c r="K29" s="114">
        <f>Sum!D17</f>
        <v>847586.25</v>
      </c>
      <c r="L29" s="114">
        <f>Sum!E17</f>
        <v>0</v>
      </c>
      <c r="M29" s="114">
        <f>Sum!F17</f>
        <v>0</v>
      </c>
      <c r="N29" s="115">
        <f t="shared" si="7"/>
        <v>847586.25</v>
      </c>
      <c r="O29" s="116">
        <f t="shared" si="8"/>
        <v>2221697.25</v>
      </c>
      <c r="P29" s="117">
        <f t="shared" si="9"/>
        <v>109.22453523008288</v>
      </c>
      <c r="Q29" s="118">
        <f t="shared" si="10"/>
        <v>67.372442418158968</v>
      </c>
      <c r="R29" s="118" t="str">
        <f t="shared" si="11"/>
        <v/>
      </c>
      <c r="S29" s="118" t="str">
        <f t="shared" si="12"/>
        <v/>
      </c>
      <c r="T29" s="119">
        <f t="shared" si="15"/>
        <v>67.372442418158968</v>
      </c>
      <c r="U29" s="119">
        <f t="shared" si="16"/>
        <v>176.59697764824185</v>
      </c>
      <c r="V29" s="120">
        <f>Sum!H17</f>
        <v>77443.812196118175</v>
      </c>
      <c r="W29" s="114">
        <f>Sum!I17</f>
        <v>6326.0818906727272</v>
      </c>
      <c r="X29" s="114">
        <f>Sum!J17</f>
        <v>0</v>
      </c>
      <c r="Y29" s="114">
        <f>Sum!K17</f>
        <v>0</v>
      </c>
      <c r="Z29" s="115">
        <f t="shared" si="13"/>
        <v>6326.0818906727272</v>
      </c>
      <c r="AA29" s="116">
        <f t="shared" si="14"/>
        <v>83769.894086790897</v>
      </c>
      <c r="AB29" s="117">
        <f t="shared" si="1"/>
        <v>6.1558086599749444</v>
      </c>
      <c r="AC29" s="118">
        <f t="shared" si="2"/>
        <v>0.50284391460091116</v>
      </c>
      <c r="AD29" s="118" t="str">
        <f t="shared" si="3"/>
        <v/>
      </c>
      <c r="AE29" s="118" t="str">
        <f t="shared" si="4"/>
        <v/>
      </c>
      <c r="AF29" s="119">
        <f t="shared" si="5"/>
        <v>0.50284391460091116</v>
      </c>
      <c r="AG29" s="121">
        <f t="shared" si="6"/>
        <v>6.6586525745758554</v>
      </c>
    </row>
    <row r="30" spans="1:33" ht="14.25" customHeight="1" x14ac:dyDescent="0.2">
      <c r="A30" s="70" t="str">
        <f>B30&amp;C3</f>
        <v>Sep2017</v>
      </c>
      <c r="B30" s="109" t="s">
        <v>8</v>
      </c>
      <c r="C30" s="706">
        <v>11772.343199999999</v>
      </c>
      <c r="D30" s="706">
        <v>11772.343199999999</v>
      </c>
      <c r="E30" s="706"/>
      <c r="F30" s="706"/>
      <c r="G30" s="706">
        <v>11772.343199999999</v>
      </c>
      <c r="H30" s="706">
        <v>11772.343199999999</v>
      </c>
      <c r="I30" s="707">
        <v>226.64663032424599</v>
      </c>
      <c r="J30" s="113">
        <f>Sum!C18</f>
        <v>1550682.0000000002</v>
      </c>
      <c r="K30" s="114">
        <f>Sum!D18</f>
        <v>832162.5</v>
      </c>
      <c r="L30" s="114">
        <f>Sum!E18</f>
        <v>0</v>
      </c>
      <c r="M30" s="114">
        <f>Sum!F18</f>
        <v>0</v>
      </c>
      <c r="N30" s="115">
        <f t="shared" si="7"/>
        <v>832162.5</v>
      </c>
      <c r="O30" s="116">
        <f t="shared" si="8"/>
        <v>2382844.5</v>
      </c>
      <c r="P30" s="117">
        <f t="shared" si="9"/>
        <v>131.72245946754256</v>
      </c>
      <c r="Q30" s="118">
        <f t="shared" si="10"/>
        <v>70.687923879079577</v>
      </c>
      <c r="R30" s="118" t="str">
        <f t="shared" si="11"/>
        <v/>
      </c>
      <c r="S30" s="118" t="str">
        <f t="shared" si="12"/>
        <v/>
      </c>
      <c r="T30" s="119">
        <f t="shared" si="15"/>
        <v>70.687923879079577</v>
      </c>
      <c r="U30" s="119">
        <f t="shared" si="16"/>
        <v>202.41038334662213</v>
      </c>
      <c r="V30" s="120">
        <f>Sum!H18</f>
        <v>87096.85480084407</v>
      </c>
      <c r="W30" s="114">
        <f>Sum!I18</f>
        <v>6191.4039273107037</v>
      </c>
      <c r="X30" s="114">
        <f>Sum!J18</f>
        <v>0</v>
      </c>
      <c r="Y30" s="114">
        <f>Sum!K18</f>
        <v>0</v>
      </c>
      <c r="Z30" s="115">
        <f t="shared" si="13"/>
        <v>6191.4039273107037</v>
      </c>
      <c r="AA30" s="116">
        <f t="shared" si="14"/>
        <v>93288.258728154775</v>
      </c>
      <c r="AB30" s="117">
        <f t="shared" si="1"/>
        <v>7.3984298045986359</v>
      </c>
      <c r="AC30" s="118">
        <f t="shared" si="2"/>
        <v>0.52592791614423062</v>
      </c>
      <c r="AD30" s="118" t="str">
        <f t="shared" si="3"/>
        <v/>
      </c>
      <c r="AE30" s="118" t="str">
        <f t="shared" si="4"/>
        <v/>
      </c>
      <c r="AF30" s="119">
        <f t="shared" si="5"/>
        <v>0.52592791614423062</v>
      </c>
      <c r="AG30" s="121">
        <f t="shared" si="6"/>
        <v>7.9243577207428659</v>
      </c>
    </row>
    <row r="31" spans="1:33" ht="14.25" customHeight="1" x14ac:dyDescent="0.2">
      <c r="A31" s="70" t="str">
        <f>B31&amp;C3</f>
        <v>Oct2017</v>
      </c>
      <c r="B31" s="109" t="s">
        <v>9</v>
      </c>
      <c r="C31" s="706">
        <v>13515.370500000001</v>
      </c>
      <c r="D31" s="706">
        <v>13515.370500000001</v>
      </c>
      <c r="E31" s="706"/>
      <c r="F31" s="706"/>
      <c r="G31" s="706">
        <v>13515.370500000001</v>
      </c>
      <c r="H31" s="706">
        <v>13515.370500000001</v>
      </c>
      <c r="I31" s="707">
        <v>226.64663032424599</v>
      </c>
      <c r="J31" s="113">
        <f>Sum!C19</f>
        <v>1376402</v>
      </c>
      <c r="K31" s="114">
        <f>Sum!D19</f>
        <v>942648.75</v>
      </c>
      <c r="L31" s="114">
        <f>Sum!E19</f>
        <v>0</v>
      </c>
      <c r="M31" s="114">
        <f>Sum!F19</f>
        <v>0</v>
      </c>
      <c r="N31" s="115">
        <f t="shared" si="7"/>
        <v>942648.75</v>
      </c>
      <c r="O31" s="116">
        <f t="shared" si="8"/>
        <v>2319050.75</v>
      </c>
      <c r="P31" s="117">
        <f t="shared" si="9"/>
        <v>101.83975348659513</v>
      </c>
      <c r="Q31" s="118">
        <f t="shared" si="10"/>
        <v>69.746423155769193</v>
      </c>
      <c r="R31" s="118" t="str">
        <f t="shared" si="11"/>
        <v/>
      </c>
      <c r="S31" s="118" t="str">
        <f t="shared" si="12"/>
        <v/>
      </c>
      <c r="T31" s="119">
        <f t="shared" si="15"/>
        <v>69.746423155769193</v>
      </c>
      <c r="U31" s="119">
        <f t="shared" si="16"/>
        <v>171.58617664236434</v>
      </c>
      <c r="V31" s="120">
        <f>Sum!H19</f>
        <v>75914.626396148567</v>
      </c>
      <c r="W31" s="114">
        <f>Sum!I19</f>
        <v>7043.4777391147281</v>
      </c>
      <c r="X31" s="114">
        <f>Sum!J19</f>
        <v>0</v>
      </c>
      <c r="Y31" s="114">
        <f>Sum!K19</f>
        <v>0</v>
      </c>
      <c r="Z31" s="115">
        <f t="shared" si="13"/>
        <v>7043.4777391147281</v>
      </c>
      <c r="AA31" s="116">
        <f t="shared" si="14"/>
        <v>82958.104135263289</v>
      </c>
      <c r="AB31" s="117">
        <f t="shared" si="1"/>
        <v>5.6169104943255945</v>
      </c>
      <c r="AC31" s="118">
        <f t="shared" si="2"/>
        <v>0.52114573841055467</v>
      </c>
      <c r="AD31" s="118" t="str">
        <f t="shared" si="3"/>
        <v/>
      </c>
      <c r="AE31" s="118" t="str">
        <f t="shared" si="4"/>
        <v/>
      </c>
      <c r="AF31" s="119">
        <f t="shared" si="5"/>
        <v>0.52114573841055467</v>
      </c>
      <c r="AG31" s="121">
        <f t="shared" si="6"/>
        <v>6.1380562327361492</v>
      </c>
    </row>
    <row r="32" spans="1:33" ht="14.25" customHeight="1" x14ac:dyDescent="0.2">
      <c r="A32" s="70" t="str">
        <f>B32&amp;C3</f>
        <v>Nov2017</v>
      </c>
      <c r="B32" s="109" t="s">
        <v>10</v>
      </c>
      <c r="C32" s="706">
        <v>12875.460900000002</v>
      </c>
      <c r="D32" s="706">
        <v>12875.460900000002</v>
      </c>
      <c r="E32" s="706"/>
      <c r="F32" s="706"/>
      <c r="G32" s="706">
        <v>12875.460900000002</v>
      </c>
      <c r="H32" s="706">
        <v>12875.460900000002</v>
      </c>
      <c r="I32" s="707">
        <v>226.64663032424599</v>
      </c>
      <c r="J32" s="113">
        <f>Sum!C20</f>
        <v>1481494.0000000002</v>
      </c>
      <c r="K32" s="114">
        <f>Sum!D20</f>
        <v>1057635</v>
      </c>
      <c r="L32" s="114">
        <f>Sum!E20</f>
        <v>0</v>
      </c>
      <c r="M32" s="114">
        <f>Sum!F20</f>
        <v>0</v>
      </c>
      <c r="N32" s="115">
        <f t="shared" si="7"/>
        <v>1057635</v>
      </c>
      <c r="O32" s="116">
        <f t="shared" si="8"/>
        <v>2539129</v>
      </c>
      <c r="P32" s="117">
        <f t="shared" si="9"/>
        <v>115.06337610019071</v>
      </c>
      <c r="Q32" s="118">
        <f t="shared" si="10"/>
        <v>82.143467190366749</v>
      </c>
      <c r="R32" s="118" t="str">
        <f t="shared" si="11"/>
        <v/>
      </c>
      <c r="S32" s="118" t="str">
        <f t="shared" si="12"/>
        <v/>
      </c>
      <c r="T32" s="119">
        <f t="shared" si="15"/>
        <v>82.143467190366749</v>
      </c>
      <c r="U32" s="119">
        <f t="shared" si="16"/>
        <v>197.20684329055743</v>
      </c>
      <c r="V32" s="120">
        <f>Sum!H20</f>
        <v>83360.638064540195</v>
      </c>
      <c r="W32" s="114">
        <f>Sum!I20</f>
        <v>15375.928250689585</v>
      </c>
      <c r="X32" s="114">
        <f>Sum!J20</f>
        <v>0</v>
      </c>
      <c r="Y32" s="114">
        <f>Sum!K20</f>
        <v>0</v>
      </c>
      <c r="Z32" s="115">
        <f t="shared" si="13"/>
        <v>15375.928250689585</v>
      </c>
      <c r="AA32" s="116">
        <f t="shared" si="14"/>
        <v>98736.566315229778</v>
      </c>
      <c r="AB32" s="117">
        <f t="shared" si="1"/>
        <v>6.4743808949425787</v>
      </c>
      <c r="AC32" s="118">
        <f t="shared" si="2"/>
        <v>1.1942041042344032</v>
      </c>
      <c r="AD32" s="118" t="str">
        <f t="shared" si="3"/>
        <v/>
      </c>
      <c r="AE32" s="118" t="str">
        <f t="shared" si="4"/>
        <v/>
      </c>
      <c r="AF32" s="119">
        <f t="shared" si="5"/>
        <v>1.1942041042344032</v>
      </c>
      <c r="AG32" s="121">
        <f t="shared" si="6"/>
        <v>7.6685849991769821</v>
      </c>
    </row>
    <row r="33" spans="1:159" ht="14.25" customHeight="1" x14ac:dyDescent="0.2">
      <c r="A33" s="70" t="str">
        <f>B33&amp;C3</f>
        <v>Dec2017</v>
      </c>
      <c r="B33" s="122" t="s">
        <v>11</v>
      </c>
      <c r="C33" s="708">
        <v>14465.744975</v>
      </c>
      <c r="D33" s="708">
        <v>14465.744975</v>
      </c>
      <c r="E33" s="708"/>
      <c r="F33" s="708"/>
      <c r="G33" s="708">
        <v>14465.744975</v>
      </c>
      <c r="H33" s="708">
        <v>14465.744975</v>
      </c>
      <c r="I33" s="707">
        <v>226.64663032424599</v>
      </c>
      <c r="J33" s="123">
        <f>Sum!C21</f>
        <v>1329942</v>
      </c>
      <c r="K33" s="124">
        <f>Sum!D21</f>
        <v>1068750</v>
      </c>
      <c r="L33" s="124">
        <f>Sum!E21</f>
        <v>0</v>
      </c>
      <c r="M33" s="124">
        <f>Sum!F21</f>
        <v>0</v>
      </c>
      <c r="N33" s="125">
        <f t="shared" si="7"/>
        <v>1068750</v>
      </c>
      <c r="O33" s="126">
        <f t="shared" si="8"/>
        <v>2398692</v>
      </c>
      <c r="P33" s="127">
        <f t="shared" si="9"/>
        <v>91.937332111027345</v>
      </c>
      <c r="Q33" s="128">
        <f t="shared" si="10"/>
        <v>73.881435200678283</v>
      </c>
      <c r="R33" s="128" t="str">
        <f t="shared" si="11"/>
        <v/>
      </c>
      <c r="S33" s="128" t="str">
        <f t="shared" si="12"/>
        <v/>
      </c>
      <c r="T33" s="129">
        <f t="shared" si="15"/>
        <v>73.881435200678283</v>
      </c>
      <c r="U33" s="129">
        <f t="shared" si="16"/>
        <v>165.81876731170564</v>
      </c>
      <c r="V33" s="130">
        <f>Sum!H21</f>
        <v>76049.319178838487</v>
      </c>
      <c r="W33" s="124">
        <f>Sum!I21</f>
        <v>16741.332140790237</v>
      </c>
      <c r="X33" s="124">
        <f>Sum!J21</f>
        <v>0</v>
      </c>
      <c r="Y33" s="124">
        <f>Sum!K21</f>
        <v>0</v>
      </c>
      <c r="Z33" s="125">
        <f t="shared" si="13"/>
        <v>16741.332140790237</v>
      </c>
      <c r="AA33" s="126">
        <f t="shared" si="14"/>
        <v>92790.651319628727</v>
      </c>
      <c r="AB33" s="127">
        <f t="shared" si="1"/>
        <v>5.2572003246475374</v>
      </c>
      <c r="AC33" s="128">
        <f t="shared" si="2"/>
        <v>1.1573086743698962</v>
      </c>
      <c r="AD33" s="128" t="str">
        <f t="shared" si="3"/>
        <v/>
      </c>
      <c r="AE33" s="128" t="str">
        <f t="shared" si="4"/>
        <v/>
      </c>
      <c r="AF33" s="129">
        <f t="shared" si="5"/>
        <v>1.1573086743698962</v>
      </c>
      <c r="AG33" s="131">
        <f t="shared" si="6"/>
        <v>6.4145089990174347</v>
      </c>
    </row>
    <row r="34" spans="1:159" s="140" customFormat="1" ht="15" customHeight="1" x14ac:dyDescent="0.2">
      <c r="A34" s="132"/>
      <c r="B34" s="133"/>
      <c r="C34" s="134"/>
      <c r="D34" s="134"/>
      <c r="E34" s="134"/>
      <c r="F34" s="135"/>
      <c r="G34" s="136"/>
      <c r="H34" s="136"/>
      <c r="I34" s="137"/>
      <c r="J34" s="136"/>
      <c r="K34" s="136"/>
      <c r="L34" s="136"/>
      <c r="M34" s="136"/>
      <c r="N34" s="136"/>
      <c r="O34" s="136"/>
      <c r="P34" s="137"/>
      <c r="Q34" s="137"/>
      <c r="R34" s="137"/>
      <c r="S34" s="137"/>
      <c r="T34" s="137"/>
      <c r="U34" s="137"/>
      <c r="V34" s="136"/>
      <c r="W34" s="136"/>
      <c r="X34" s="136"/>
      <c r="Y34" s="136"/>
      <c r="Z34" s="136"/>
      <c r="AA34" s="136"/>
      <c r="AB34" s="137"/>
      <c r="AC34" s="137"/>
      <c r="AD34" s="138"/>
      <c r="AE34" s="139"/>
      <c r="AF34" s="139"/>
      <c r="AG34" s="138"/>
    </row>
    <row r="35" spans="1:159" s="140" customFormat="1" ht="15" customHeight="1" x14ac:dyDescent="0.2">
      <c r="A35" s="132"/>
      <c r="B35" s="780" t="s">
        <v>170</v>
      </c>
      <c r="C35" s="781"/>
      <c r="D35" s="781"/>
      <c r="E35" s="781"/>
      <c r="F35" s="782"/>
      <c r="G35" s="136"/>
      <c r="H35" s="136"/>
      <c r="I35" s="137"/>
      <c r="J35" s="136"/>
      <c r="K35" s="136"/>
      <c r="L35" s="136"/>
      <c r="M35" s="136"/>
      <c r="N35" s="136"/>
      <c r="O35" s="136"/>
      <c r="P35" s="137"/>
      <c r="Q35" s="137"/>
      <c r="R35" s="137"/>
      <c r="S35" s="137"/>
      <c r="T35" s="137"/>
      <c r="U35" s="137"/>
      <c r="V35" s="136"/>
      <c r="W35" s="136"/>
      <c r="X35" s="136"/>
      <c r="Y35" s="136"/>
      <c r="Z35" s="136"/>
      <c r="AA35" s="136"/>
      <c r="AB35" s="137"/>
      <c r="AC35" s="137"/>
      <c r="AD35" s="138"/>
      <c r="AE35" s="139"/>
      <c r="AF35" s="139"/>
      <c r="AG35" s="138"/>
      <c r="AH35" s="141"/>
      <c r="AI35" s="141"/>
      <c r="AJ35" s="141"/>
      <c r="AK35" s="141"/>
      <c r="AL35" s="142"/>
      <c r="AM35" s="142"/>
      <c r="AN35" s="142"/>
      <c r="AO35" s="143"/>
      <c r="AP35" s="144"/>
      <c r="AQ35" s="144"/>
      <c r="AR35" s="141"/>
      <c r="AS35" s="141"/>
    </row>
    <row r="36" spans="1:159" s="140" customFormat="1" ht="14.25" customHeight="1" x14ac:dyDescent="0.2">
      <c r="A36" s="132"/>
      <c r="B36" s="145"/>
      <c r="C36" s="146"/>
      <c r="D36" s="146"/>
      <c r="E36" s="146"/>
      <c r="F36" s="147"/>
      <c r="G36" s="136"/>
      <c r="H36" s="136"/>
      <c r="I36" s="137"/>
      <c r="J36" s="136"/>
      <c r="K36" s="136"/>
      <c r="L36" s="136"/>
      <c r="M36" s="136"/>
      <c r="N36" s="136"/>
      <c r="O36" s="136"/>
      <c r="P36" s="137"/>
      <c r="Q36" s="137"/>
      <c r="R36" s="137"/>
      <c r="S36" s="137"/>
      <c r="T36" s="137"/>
      <c r="U36" s="137"/>
      <c r="V36" s="136"/>
      <c r="W36" s="136"/>
      <c r="X36" s="136"/>
      <c r="Y36" s="136"/>
      <c r="Z36" s="136"/>
      <c r="AA36" s="136"/>
      <c r="AB36" s="137"/>
      <c r="AC36" s="137"/>
      <c r="AD36" s="138"/>
      <c r="AE36" s="139"/>
      <c r="AF36" s="139"/>
      <c r="AG36" s="138"/>
      <c r="AH36" s="141"/>
      <c r="AI36" s="141"/>
      <c r="AJ36" s="141"/>
      <c r="AK36" s="141"/>
      <c r="AL36" s="142"/>
      <c r="AM36" s="142"/>
      <c r="AN36" s="142"/>
      <c r="AO36" s="143"/>
      <c r="AP36" s="144"/>
      <c r="AQ36" s="144"/>
      <c r="AR36" s="141"/>
      <c r="AS36" s="141"/>
      <c r="EU36" s="774"/>
      <c r="EV36" s="775"/>
      <c r="EW36" s="775"/>
      <c r="EX36" s="775"/>
      <c r="EY36" s="775"/>
      <c r="EZ36" s="775"/>
      <c r="FA36" s="775"/>
      <c r="FB36" s="775"/>
      <c r="FC36" s="775"/>
    </row>
    <row r="37" spans="1:159" ht="15" customHeight="1" x14ac:dyDescent="0.2">
      <c r="A37" s="132"/>
      <c r="B37" s="771" t="s">
        <v>171</v>
      </c>
      <c r="C37" s="772"/>
      <c r="D37" s="772"/>
      <c r="E37" s="772"/>
      <c r="F37" s="773"/>
      <c r="G37" s="148"/>
      <c r="H37" s="148"/>
      <c r="AD37" s="74"/>
      <c r="AE37" s="78"/>
      <c r="AF37" s="78"/>
      <c r="AG37" s="74"/>
      <c r="AH37" s="72"/>
      <c r="AI37" s="72"/>
      <c r="AJ37" s="72"/>
      <c r="AK37" s="72"/>
      <c r="AL37" s="77"/>
      <c r="AM37" s="77"/>
      <c r="AN37" s="77"/>
      <c r="AO37" s="149"/>
      <c r="AP37" s="150"/>
      <c r="AQ37" s="149"/>
      <c r="AR37" s="72"/>
      <c r="AS37" s="72"/>
    </row>
    <row r="38" spans="1:159" x14ac:dyDescent="0.2">
      <c r="B38" s="151"/>
      <c r="C38" s="152"/>
      <c r="D38" s="152"/>
      <c r="E38" s="152"/>
      <c r="F38" s="153"/>
    </row>
  </sheetData>
  <sheetProtection sheet="1"/>
  <mergeCells count="11">
    <mergeCell ref="C12:F12"/>
    <mergeCell ref="C14:F14"/>
    <mergeCell ref="C16:F16"/>
    <mergeCell ref="B37:F37"/>
    <mergeCell ref="EU36:FC36"/>
    <mergeCell ref="B20:B21"/>
    <mergeCell ref="L3:R17"/>
    <mergeCell ref="B35:F35"/>
    <mergeCell ref="C6:F6"/>
    <mergeCell ref="C8:F8"/>
    <mergeCell ref="C10:F10"/>
  </mergeCells>
  <phoneticPr fontId="1" type="noConversion"/>
  <hyperlinks>
    <hyperlink ref="B35" location="Start!R1C1" display="Click here to jump back to start page" xr:uid="{00000000-0004-0000-0700-000000000000}"/>
    <hyperlink ref="B37:F37" location="'(KPI)'!R1C1" display="Click here to jump to diagrams" xr:uid="{00000000-0004-0000-0700-000001000000}"/>
  </hyperlinks>
  <pageMargins left="0.15748031496062992" right="0.15748031496062992" top="0.78740157480314965" bottom="0.78740157480314965" header="0.51181102362204722" footer="0.51181102362204722"/>
  <pageSetup paperSize="9" scale="98" orientation="landscape" r:id="rId1"/>
  <headerFooter alignWithMargins="0"/>
  <colBreaks count="5" manualBreakCount="5">
    <brk id="15" max="38" man="1"/>
    <brk id="21" max="38" man="1"/>
    <brk id="27" max="38" man="1"/>
    <brk id="33" max="38" man="1"/>
    <brk id="42" min="2" max="32"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7"/>
  <dimension ref="B1:AC108"/>
  <sheetViews>
    <sheetView showGridLines="0" showZeros="0" topLeftCell="C1" workbookViewId="0">
      <selection activeCell="M6" sqref="M6"/>
    </sheetView>
  </sheetViews>
  <sheetFormatPr defaultColWidth="9.140625" defaultRowHeight="12.75" x14ac:dyDescent="0.2"/>
  <cols>
    <col min="1" max="1" width="3.85546875" style="41" customWidth="1"/>
    <col min="2" max="2" width="13.5703125" style="41" customWidth="1"/>
    <col min="3" max="3" width="1.7109375" style="42" customWidth="1"/>
    <col min="4" max="4" width="19.5703125" style="41" customWidth="1"/>
    <col min="5" max="5" width="1.7109375" style="42" customWidth="1"/>
    <col min="6" max="6" width="14.140625" style="41" customWidth="1"/>
    <col min="7" max="7" width="1.7109375" style="42" customWidth="1"/>
    <col min="8" max="8" width="13.7109375" style="41" customWidth="1"/>
    <col min="9" max="9" width="1.7109375" style="42" customWidth="1"/>
    <col min="10" max="10" width="13.5703125" style="41" customWidth="1"/>
    <col min="11" max="11" width="1.7109375" style="42" customWidth="1"/>
    <col min="12" max="12" width="11.5703125" style="41" customWidth="1"/>
    <col min="13" max="13" width="1.7109375" style="42" customWidth="1"/>
    <col min="14" max="14" width="12.7109375" style="41" customWidth="1"/>
    <col min="15" max="15" width="1.7109375" style="42" customWidth="1"/>
    <col min="16" max="16" width="13.5703125" style="41" customWidth="1"/>
    <col min="17" max="17" width="1.7109375" style="42" customWidth="1"/>
    <col min="18" max="18" width="11.5703125" style="43" customWidth="1"/>
    <col min="19" max="19" width="8.7109375" style="41" customWidth="1"/>
    <col min="20" max="20" width="8.28515625" style="41" customWidth="1"/>
    <col min="21" max="21" width="11.5703125" style="41" customWidth="1"/>
    <col min="22" max="22" width="8.7109375" style="41" customWidth="1"/>
    <col min="23" max="23" width="12.28515625" style="44" customWidth="1"/>
    <col min="24" max="24" width="2.7109375" style="41" customWidth="1"/>
    <col min="25" max="16384" width="9.140625" style="41"/>
  </cols>
  <sheetData>
    <row r="1" spans="2:29" ht="13.5" thickBot="1" x14ac:dyDescent="0.25"/>
    <row r="2" spans="2:29" ht="28.5" customHeight="1" thickBot="1" x14ac:dyDescent="0.25">
      <c r="B2" s="786"/>
      <c r="C2" s="45"/>
      <c r="D2" s="793"/>
      <c r="E2" s="45"/>
      <c r="F2" s="45"/>
      <c r="G2" s="788" t="s">
        <v>277</v>
      </c>
      <c r="H2" s="788"/>
      <c r="I2" s="788"/>
      <c r="J2" s="788"/>
      <c r="K2" s="788"/>
      <c r="L2" s="788"/>
      <c r="M2" s="788"/>
      <c r="N2" s="788"/>
      <c r="O2" s="788"/>
      <c r="P2" s="788"/>
      <c r="Q2" s="789"/>
      <c r="R2" s="788"/>
      <c r="S2" s="788"/>
      <c r="T2" s="788"/>
      <c r="U2" s="45"/>
      <c r="V2" s="45"/>
      <c r="W2" s="46"/>
    </row>
    <row r="3" spans="2:29" ht="28.5" customHeight="1" thickBot="1" x14ac:dyDescent="0.25">
      <c r="B3" s="787"/>
      <c r="C3" s="47"/>
      <c r="D3" s="794"/>
      <c r="E3" s="47"/>
      <c r="F3" s="790" t="s">
        <v>210</v>
      </c>
      <c r="G3" s="791"/>
      <c r="H3" s="791"/>
      <c r="I3" s="791"/>
      <c r="J3" s="791"/>
      <c r="K3" s="791"/>
      <c r="L3" s="791"/>
      <c r="M3" s="791"/>
      <c r="N3" s="791"/>
      <c r="O3" s="791"/>
      <c r="P3" s="792"/>
      <c r="Q3" s="534"/>
      <c r="R3" s="790" t="s">
        <v>114</v>
      </c>
      <c r="S3" s="791"/>
      <c r="T3" s="791"/>
      <c r="U3" s="791"/>
      <c r="V3" s="792"/>
      <c r="W3" s="48" t="s">
        <v>115</v>
      </c>
    </row>
    <row r="4" spans="2:29" ht="13.5" thickBot="1" x14ac:dyDescent="0.25"/>
    <row r="5" spans="2:29" ht="40.5" customHeight="1" thickBot="1" x14ac:dyDescent="0.25">
      <c r="B5" s="49" t="s">
        <v>116</v>
      </c>
      <c r="C5" s="50"/>
      <c r="D5" s="49" t="s">
        <v>313</v>
      </c>
      <c r="E5" s="50"/>
      <c r="F5" s="49" t="s">
        <v>117</v>
      </c>
      <c r="G5" s="50" t="s">
        <v>118</v>
      </c>
      <c r="H5" s="49" t="s">
        <v>119</v>
      </c>
      <c r="I5" s="50" t="s">
        <v>118</v>
      </c>
      <c r="J5" s="49" t="s">
        <v>211</v>
      </c>
      <c r="K5" s="50" t="s">
        <v>118</v>
      </c>
      <c r="L5" s="49" t="s">
        <v>212</v>
      </c>
      <c r="M5" s="50" t="s">
        <v>118</v>
      </c>
      <c r="N5" s="49" t="s">
        <v>120</v>
      </c>
      <c r="O5" s="50" t="s">
        <v>118</v>
      </c>
      <c r="P5" s="49" t="s">
        <v>213</v>
      </c>
      <c r="Q5" s="50" t="s">
        <v>118</v>
      </c>
      <c r="R5" s="51" t="s">
        <v>214</v>
      </c>
      <c r="S5" s="52" t="s">
        <v>215</v>
      </c>
      <c r="T5" s="53" t="s">
        <v>216</v>
      </c>
      <c r="U5" s="53" t="s">
        <v>217</v>
      </c>
      <c r="V5" s="52" t="s">
        <v>218</v>
      </c>
      <c r="W5" s="54" t="s">
        <v>219</v>
      </c>
    </row>
    <row r="6" spans="2:29" ht="13.5" thickBot="1" x14ac:dyDescent="0.25">
      <c r="B6" s="35"/>
      <c r="C6" s="50">
        <f t="shared" ref="C6:C14" si="0">G6</f>
        <v>302400</v>
      </c>
      <c r="D6" s="719" t="s">
        <v>662</v>
      </c>
      <c r="E6" s="50">
        <f t="shared" ref="E6:E14" si="1">I6</f>
        <v>302400</v>
      </c>
      <c r="F6" s="720" t="s">
        <v>339</v>
      </c>
      <c r="G6" s="50">
        <f t="shared" ref="G6:G14" si="2">I6</f>
        <v>302400</v>
      </c>
      <c r="H6" s="720" t="s">
        <v>339</v>
      </c>
      <c r="I6" s="50">
        <f t="shared" ref="I6:I14" si="3">K6</f>
        <v>302400</v>
      </c>
      <c r="J6" s="720" t="s">
        <v>339</v>
      </c>
      <c r="K6" s="50">
        <f t="shared" ref="K6:K14" si="4">M6</f>
        <v>302400</v>
      </c>
      <c r="L6" s="720" t="s">
        <v>65</v>
      </c>
      <c r="M6" s="50">
        <f t="shared" ref="M6:M14" si="5">O6</f>
        <v>302400</v>
      </c>
      <c r="N6" s="720" t="s">
        <v>169</v>
      </c>
      <c r="O6" s="50">
        <f t="shared" ref="O6:O14" si="6">Q6</f>
        <v>302400</v>
      </c>
      <c r="P6" s="720" t="s">
        <v>126</v>
      </c>
      <c r="Q6" s="50">
        <f t="shared" ref="Q6:Q14" si="7">W6</f>
        <v>302400</v>
      </c>
      <c r="R6" s="721">
        <v>500</v>
      </c>
      <c r="S6" s="722">
        <v>42</v>
      </c>
      <c r="T6" s="722">
        <v>1</v>
      </c>
      <c r="U6" s="722">
        <v>1440</v>
      </c>
      <c r="V6" s="722">
        <v>100</v>
      </c>
      <c r="W6" s="55">
        <f t="shared" ref="W6:W14" si="8">R6*(S6/100)*T6*U6*(V6/100)</f>
        <v>302400</v>
      </c>
      <c r="Y6" s="56"/>
      <c r="Z6" s="57"/>
      <c r="AA6" s="57"/>
      <c r="AB6" s="57"/>
      <c r="AC6" s="58"/>
    </row>
    <row r="7" spans="2:29" ht="23.25" thickBot="1" x14ac:dyDescent="0.25">
      <c r="B7" s="35"/>
      <c r="C7" s="50">
        <f t="shared" si="0"/>
        <v>922500</v>
      </c>
      <c r="D7" s="719" t="s">
        <v>663</v>
      </c>
      <c r="E7" s="50">
        <f t="shared" si="1"/>
        <v>922500</v>
      </c>
      <c r="F7" s="720" t="s">
        <v>339</v>
      </c>
      <c r="G7" s="50">
        <f t="shared" si="2"/>
        <v>922500</v>
      </c>
      <c r="H7" s="720" t="s">
        <v>339</v>
      </c>
      <c r="I7" s="50">
        <f t="shared" si="3"/>
        <v>922500</v>
      </c>
      <c r="J7" s="720" t="s">
        <v>339</v>
      </c>
      <c r="K7" s="50">
        <f t="shared" si="4"/>
        <v>922500</v>
      </c>
      <c r="L7" s="720" t="s">
        <v>65</v>
      </c>
      <c r="M7" s="50">
        <f t="shared" si="5"/>
        <v>922500</v>
      </c>
      <c r="N7" s="720" t="s">
        <v>169</v>
      </c>
      <c r="O7" s="50">
        <f t="shared" si="6"/>
        <v>922500</v>
      </c>
      <c r="P7" s="720" t="s">
        <v>126</v>
      </c>
      <c r="Q7" s="50">
        <f t="shared" si="7"/>
        <v>922500</v>
      </c>
      <c r="R7" s="721">
        <v>200</v>
      </c>
      <c r="S7" s="722">
        <v>90</v>
      </c>
      <c r="T7" s="722">
        <v>1</v>
      </c>
      <c r="U7" s="722">
        <v>5125</v>
      </c>
      <c r="V7" s="722">
        <v>100</v>
      </c>
      <c r="W7" s="55">
        <f t="shared" si="8"/>
        <v>922500</v>
      </c>
      <c r="Y7" s="738" t="s">
        <v>170</v>
      </c>
      <c r="Z7" s="739"/>
      <c r="AA7" s="739"/>
      <c r="AB7" s="739"/>
      <c r="AC7" s="740"/>
    </row>
    <row r="8" spans="2:29" ht="23.25" thickBot="1" x14ac:dyDescent="0.25">
      <c r="B8" s="35"/>
      <c r="C8" s="50">
        <f t="shared" si="0"/>
        <v>1021250</v>
      </c>
      <c r="D8" s="719" t="s">
        <v>664</v>
      </c>
      <c r="E8" s="50">
        <f t="shared" si="1"/>
        <v>1021250</v>
      </c>
      <c r="F8" s="720" t="s">
        <v>339</v>
      </c>
      <c r="G8" s="50">
        <f t="shared" si="2"/>
        <v>1021250</v>
      </c>
      <c r="H8" s="720" t="s">
        <v>339</v>
      </c>
      <c r="I8" s="50">
        <f t="shared" si="3"/>
        <v>1021250</v>
      </c>
      <c r="J8" s="720" t="s">
        <v>339</v>
      </c>
      <c r="K8" s="50">
        <f t="shared" si="4"/>
        <v>1021250</v>
      </c>
      <c r="L8" s="720" t="s">
        <v>65</v>
      </c>
      <c r="M8" s="50">
        <f t="shared" si="5"/>
        <v>1021250</v>
      </c>
      <c r="N8" s="720" t="s">
        <v>169</v>
      </c>
      <c r="O8" s="50">
        <f t="shared" si="6"/>
        <v>1021250</v>
      </c>
      <c r="P8" s="720" t="s">
        <v>126</v>
      </c>
      <c r="Q8" s="50">
        <f t="shared" si="7"/>
        <v>1021250</v>
      </c>
      <c r="R8" s="721">
        <v>200</v>
      </c>
      <c r="S8" s="722">
        <v>95</v>
      </c>
      <c r="T8" s="722">
        <v>1</v>
      </c>
      <c r="U8" s="722">
        <v>5375</v>
      </c>
      <c r="V8" s="722">
        <v>100</v>
      </c>
      <c r="W8" s="55">
        <f t="shared" si="8"/>
        <v>1021250</v>
      </c>
      <c r="Y8" s="59"/>
      <c r="Z8" s="60"/>
      <c r="AA8" s="60"/>
      <c r="AB8" s="60"/>
      <c r="AC8" s="61"/>
    </row>
    <row r="9" spans="2:29" ht="13.5" thickBot="1" x14ac:dyDescent="0.25">
      <c r="B9" s="35"/>
      <c r="C9" s="50">
        <f t="shared" si="0"/>
        <v>1262822.3999999999</v>
      </c>
      <c r="D9" s="719" t="s">
        <v>665</v>
      </c>
      <c r="E9" s="50">
        <f t="shared" si="1"/>
        <v>1262822.3999999999</v>
      </c>
      <c r="F9" s="720" t="s">
        <v>338</v>
      </c>
      <c r="G9" s="50">
        <f t="shared" si="2"/>
        <v>1262822.3999999999</v>
      </c>
      <c r="H9" s="720" t="s">
        <v>338</v>
      </c>
      <c r="I9" s="50">
        <f t="shared" si="3"/>
        <v>1262822.3999999999</v>
      </c>
      <c r="J9" s="720" t="s">
        <v>338</v>
      </c>
      <c r="K9" s="50">
        <f t="shared" si="4"/>
        <v>1262822.3999999999</v>
      </c>
      <c r="L9" s="720" t="s">
        <v>65</v>
      </c>
      <c r="M9" s="50">
        <f t="shared" si="5"/>
        <v>1262822.3999999999</v>
      </c>
      <c r="N9" s="720" t="s">
        <v>127</v>
      </c>
      <c r="O9" s="50">
        <f t="shared" si="6"/>
        <v>1262822.3999999999</v>
      </c>
      <c r="P9" s="720" t="s">
        <v>126</v>
      </c>
      <c r="Q9" s="50">
        <f t="shared" si="7"/>
        <v>1262822.3999999999</v>
      </c>
      <c r="R9" s="721">
        <v>216</v>
      </c>
      <c r="S9" s="722">
        <v>70</v>
      </c>
      <c r="T9" s="722">
        <v>1</v>
      </c>
      <c r="U9" s="722">
        <v>8352</v>
      </c>
      <c r="V9" s="722">
        <v>100</v>
      </c>
      <c r="W9" s="55">
        <f t="shared" si="8"/>
        <v>1262822.3999999999</v>
      </c>
      <c r="Y9" s="741" t="s">
        <v>171</v>
      </c>
      <c r="Z9" s="742"/>
      <c r="AA9" s="742"/>
      <c r="AB9" s="742"/>
      <c r="AC9" s="743"/>
    </row>
    <row r="10" spans="2:29" ht="13.5" thickBot="1" x14ac:dyDescent="0.25">
      <c r="B10" s="35"/>
      <c r="C10" s="50">
        <f t="shared" si="0"/>
        <v>228574.91999999998</v>
      </c>
      <c r="D10" s="719" t="s">
        <v>666</v>
      </c>
      <c r="E10" s="50">
        <f t="shared" si="1"/>
        <v>228574.91999999998</v>
      </c>
      <c r="F10" s="720" t="s">
        <v>338</v>
      </c>
      <c r="G10" s="50">
        <f t="shared" si="2"/>
        <v>228574.91999999998</v>
      </c>
      <c r="H10" s="720" t="s">
        <v>338</v>
      </c>
      <c r="I10" s="50">
        <f t="shared" si="3"/>
        <v>228574.91999999998</v>
      </c>
      <c r="J10" s="720" t="s">
        <v>338</v>
      </c>
      <c r="K10" s="50">
        <f t="shared" si="4"/>
        <v>228574.91999999998</v>
      </c>
      <c r="L10" s="720" t="s">
        <v>65</v>
      </c>
      <c r="M10" s="50">
        <f t="shared" si="5"/>
        <v>228574.91999999998</v>
      </c>
      <c r="N10" s="720" t="s">
        <v>127</v>
      </c>
      <c r="O10" s="50">
        <f t="shared" si="6"/>
        <v>228574.91999999998</v>
      </c>
      <c r="P10" s="720" t="s">
        <v>123</v>
      </c>
      <c r="Q10" s="50">
        <f t="shared" si="7"/>
        <v>228574.91999999998</v>
      </c>
      <c r="R10" s="721">
        <v>92</v>
      </c>
      <c r="S10" s="722">
        <v>70</v>
      </c>
      <c r="T10" s="722">
        <v>1</v>
      </c>
      <c r="U10" s="722">
        <v>3549.3</v>
      </c>
      <c r="V10" s="722">
        <v>100</v>
      </c>
      <c r="W10" s="55">
        <f t="shared" si="8"/>
        <v>228574.91999999998</v>
      </c>
      <c r="Y10" s="62"/>
      <c r="Z10" s="63"/>
      <c r="AA10" s="63"/>
      <c r="AB10" s="63"/>
      <c r="AC10" s="64"/>
    </row>
    <row r="11" spans="2:29" ht="23.25" thickBot="1" x14ac:dyDescent="0.25">
      <c r="B11" s="35"/>
      <c r="C11" s="50">
        <f t="shared" si="0"/>
        <v>324875.87999999995</v>
      </c>
      <c r="D11" s="719" t="s">
        <v>667</v>
      </c>
      <c r="E11" s="50">
        <f t="shared" si="1"/>
        <v>324875.87999999995</v>
      </c>
      <c r="F11" s="720" t="s">
        <v>339</v>
      </c>
      <c r="G11" s="50">
        <f t="shared" si="2"/>
        <v>324875.87999999995</v>
      </c>
      <c r="H11" s="720" t="s">
        <v>339</v>
      </c>
      <c r="I11" s="50">
        <f t="shared" si="3"/>
        <v>324875.87999999995</v>
      </c>
      <c r="J11" s="720" t="s">
        <v>339</v>
      </c>
      <c r="K11" s="50">
        <f t="shared" si="4"/>
        <v>324875.87999999995</v>
      </c>
      <c r="L11" s="720" t="s">
        <v>65</v>
      </c>
      <c r="M11" s="50">
        <f t="shared" si="5"/>
        <v>324875.87999999995</v>
      </c>
      <c r="N11" s="720" t="s">
        <v>133</v>
      </c>
      <c r="O11" s="50">
        <f t="shared" si="6"/>
        <v>324875.87999999995</v>
      </c>
      <c r="P11" s="720" t="s">
        <v>130</v>
      </c>
      <c r="Q11" s="50">
        <f t="shared" si="7"/>
        <v>324875.87999999995</v>
      </c>
      <c r="R11" s="721">
        <v>315</v>
      </c>
      <c r="S11" s="722">
        <v>42</v>
      </c>
      <c r="T11" s="722">
        <v>1</v>
      </c>
      <c r="U11" s="722">
        <v>2455.6</v>
      </c>
      <c r="V11" s="722">
        <v>100</v>
      </c>
      <c r="W11" s="55">
        <f t="shared" si="8"/>
        <v>324875.87999999995</v>
      </c>
    </row>
    <row r="12" spans="2:29" ht="13.5" thickBot="1" x14ac:dyDescent="0.25">
      <c r="B12" s="35"/>
      <c r="C12" s="50">
        <f t="shared" si="0"/>
        <v>328725.80999999994</v>
      </c>
      <c r="D12" s="719" t="s">
        <v>668</v>
      </c>
      <c r="E12" s="50">
        <f t="shared" si="1"/>
        <v>328725.80999999994</v>
      </c>
      <c r="F12" s="720" t="s">
        <v>339</v>
      </c>
      <c r="G12" s="50">
        <f t="shared" si="2"/>
        <v>328725.80999999994</v>
      </c>
      <c r="H12" s="720" t="s">
        <v>339</v>
      </c>
      <c r="I12" s="50">
        <f t="shared" si="3"/>
        <v>328725.80999999994</v>
      </c>
      <c r="J12" s="720" t="s">
        <v>339</v>
      </c>
      <c r="K12" s="50">
        <f t="shared" si="4"/>
        <v>328725.80999999994</v>
      </c>
      <c r="L12" s="720" t="s">
        <v>65</v>
      </c>
      <c r="M12" s="50">
        <f t="shared" si="5"/>
        <v>328725.80999999994</v>
      </c>
      <c r="N12" s="720" t="s">
        <v>133</v>
      </c>
      <c r="O12" s="50">
        <f t="shared" si="6"/>
        <v>328725.80999999994</v>
      </c>
      <c r="P12" s="720" t="s">
        <v>130</v>
      </c>
      <c r="Q12" s="50">
        <f t="shared" si="7"/>
        <v>328725.80999999994</v>
      </c>
      <c r="R12" s="721">
        <v>315</v>
      </c>
      <c r="S12" s="722">
        <v>42</v>
      </c>
      <c r="T12" s="722">
        <v>1</v>
      </c>
      <c r="U12" s="722">
        <v>2484.6999999999998</v>
      </c>
      <c r="V12" s="722">
        <v>100</v>
      </c>
      <c r="W12" s="55">
        <f t="shared" si="8"/>
        <v>328725.80999999994</v>
      </c>
    </row>
    <row r="13" spans="2:29" ht="13.5" thickBot="1" x14ac:dyDescent="0.25">
      <c r="B13" s="35"/>
      <c r="C13" s="50">
        <f t="shared" si="0"/>
        <v>452616</v>
      </c>
      <c r="D13" s="719" t="s">
        <v>669</v>
      </c>
      <c r="E13" s="50">
        <f t="shared" si="1"/>
        <v>452616</v>
      </c>
      <c r="F13" s="720" t="s">
        <v>339</v>
      </c>
      <c r="G13" s="50">
        <f t="shared" si="2"/>
        <v>452616</v>
      </c>
      <c r="H13" s="720" t="s">
        <v>339</v>
      </c>
      <c r="I13" s="50">
        <f t="shared" si="3"/>
        <v>452616</v>
      </c>
      <c r="J13" s="720" t="s">
        <v>339</v>
      </c>
      <c r="K13" s="50">
        <f t="shared" si="4"/>
        <v>452616</v>
      </c>
      <c r="L13" s="720" t="s">
        <v>65</v>
      </c>
      <c r="M13" s="50">
        <f t="shared" si="5"/>
        <v>452616</v>
      </c>
      <c r="N13" s="720" t="s">
        <v>133</v>
      </c>
      <c r="O13" s="50">
        <f t="shared" si="6"/>
        <v>452616</v>
      </c>
      <c r="P13" s="720" t="s">
        <v>130</v>
      </c>
      <c r="Q13" s="50">
        <f t="shared" si="7"/>
        <v>452616</v>
      </c>
      <c r="R13" s="721">
        <v>400</v>
      </c>
      <c r="S13" s="722">
        <v>60</v>
      </c>
      <c r="T13" s="722">
        <v>1</v>
      </c>
      <c r="U13" s="722">
        <v>1885.9</v>
      </c>
      <c r="V13" s="722">
        <v>100</v>
      </c>
      <c r="W13" s="55">
        <f t="shared" si="8"/>
        <v>452616</v>
      </c>
    </row>
    <row r="14" spans="2:29" ht="23.25" thickBot="1" x14ac:dyDescent="0.25">
      <c r="B14" s="35"/>
      <c r="C14" s="50">
        <f t="shared" si="0"/>
        <v>851832</v>
      </c>
      <c r="D14" s="719" t="s">
        <v>670</v>
      </c>
      <c r="E14" s="50">
        <f t="shared" si="1"/>
        <v>851832</v>
      </c>
      <c r="F14" s="720" t="s">
        <v>339</v>
      </c>
      <c r="G14" s="50">
        <f t="shared" si="2"/>
        <v>851832</v>
      </c>
      <c r="H14" s="720" t="s">
        <v>339</v>
      </c>
      <c r="I14" s="50">
        <f t="shared" si="3"/>
        <v>851832</v>
      </c>
      <c r="J14" s="720" t="s">
        <v>339</v>
      </c>
      <c r="K14" s="50">
        <f t="shared" si="4"/>
        <v>851832</v>
      </c>
      <c r="L14" s="720" t="s">
        <v>65</v>
      </c>
      <c r="M14" s="50">
        <f t="shared" si="5"/>
        <v>851832</v>
      </c>
      <c r="N14" s="720" t="s">
        <v>133</v>
      </c>
      <c r="O14" s="50">
        <f t="shared" si="6"/>
        <v>851832</v>
      </c>
      <c r="P14" s="720" t="s">
        <v>130</v>
      </c>
      <c r="Q14" s="50">
        <f t="shared" si="7"/>
        <v>851832</v>
      </c>
      <c r="R14" s="721">
        <v>400</v>
      </c>
      <c r="S14" s="722">
        <v>60</v>
      </c>
      <c r="T14" s="722">
        <v>1</v>
      </c>
      <c r="U14" s="722">
        <v>3549.3</v>
      </c>
      <c r="V14" s="722">
        <v>100</v>
      </c>
      <c r="W14" s="55">
        <f t="shared" si="8"/>
        <v>851832</v>
      </c>
    </row>
    <row r="15" spans="2:29" ht="13.5" thickBot="1" x14ac:dyDescent="0.25">
      <c r="B15" s="35"/>
      <c r="C15" s="50">
        <f t="shared" ref="C15:C39" si="9">G15</f>
        <v>760536</v>
      </c>
      <c r="D15" s="719" t="s">
        <v>671</v>
      </c>
      <c r="E15" s="50">
        <f t="shared" ref="E15:E39" si="10">I15</f>
        <v>760536</v>
      </c>
      <c r="F15" s="720" t="s">
        <v>339</v>
      </c>
      <c r="G15" s="50">
        <f t="shared" ref="G15:G39" si="11">I15</f>
        <v>760536</v>
      </c>
      <c r="H15" s="720" t="s">
        <v>339</v>
      </c>
      <c r="I15" s="50">
        <f t="shared" ref="I15:I39" si="12">K15</f>
        <v>760536</v>
      </c>
      <c r="J15" s="720" t="s">
        <v>339</v>
      </c>
      <c r="K15" s="50">
        <f t="shared" ref="K15:K39" si="13">M15</f>
        <v>760536</v>
      </c>
      <c r="L15" s="720" t="s">
        <v>65</v>
      </c>
      <c r="M15" s="50">
        <f t="shared" ref="M15:M39" si="14">O15</f>
        <v>760536</v>
      </c>
      <c r="N15" s="720" t="s">
        <v>133</v>
      </c>
      <c r="O15" s="50">
        <f t="shared" ref="O15:O39" si="15">Q15</f>
        <v>760536</v>
      </c>
      <c r="P15" s="720" t="s">
        <v>130</v>
      </c>
      <c r="Q15" s="50">
        <f t="shared" ref="Q15:Q39" si="16">W15</f>
        <v>760536</v>
      </c>
      <c r="R15" s="721">
        <v>400</v>
      </c>
      <c r="S15" s="722">
        <v>60</v>
      </c>
      <c r="T15" s="722">
        <v>1</v>
      </c>
      <c r="U15" s="722">
        <v>3168.9</v>
      </c>
      <c r="V15" s="722">
        <v>100</v>
      </c>
      <c r="W15" s="55">
        <f t="shared" ref="W15:W39" si="17">R15*(S15/100)*T15*U15*(V15/100)</f>
        <v>760536</v>
      </c>
    </row>
    <row r="16" spans="2:29" ht="13.5" thickBot="1" x14ac:dyDescent="0.25">
      <c r="B16" s="35"/>
      <c r="C16" s="50">
        <f t="shared" si="9"/>
        <v>185273.46</v>
      </c>
      <c r="D16" s="719" t="s">
        <v>672</v>
      </c>
      <c r="E16" s="50">
        <f t="shared" si="10"/>
        <v>185273.46</v>
      </c>
      <c r="F16" s="720" t="s">
        <v>339</v>
      </c>
      <c r="G16" s="50">
        <f t="shared" si="11"/>
        <v>185273.46</v>
      </c>
      <c r="H16" s="720" t="s">
        <v>339</v>
      </c>
      <c r="I16" s="50">
        <f t="shared" si="12"/>
        <v>185273.46</v>
      </c>
      <c r="J16" s="720" t="s">
        <v>339</v>
      </c>
      <c r="K16" s="50">
        <f t="shared" si="13"/>
        <v>185273.46</v>
      </c>
      <c r="L16" s="720" t="s">
        <v>65</v>
      </c>
      <c r="M16" s="50">
        <f t="shared" si="14"/>
        <v>185273.46</v>
      </c>
      <c r="N16" s="720" t="s">
        <v>133</v>
      </c>
      <c r="O16" s="50">
        <f t="shared" si="15"/>
        <v>185273.46</v>
      </c>
      <c r="P16" s="720" t="s">
        <v>130</v>
      </c>
      <c r="Q16" s="50">
        <f t="shared" si="16"/>
        <v>185273.46</v>
      </c>
      <c r="R16" s="721">
        <v>87</v>
      </c>
      <c r="S16" s="722">
        <v>60</v>
      </c>
      <c r="T16" s="722">
        <v>1</v>
      </c>
      <c r="U16" s="722">
        <v>3549.3</v>
      </c>
      <c r="V16" s="722">
        <v>100</v>
      </c>
      <c r="W16" s="55">
        <f t="shared" si="17"/>
        <v>185273.46</v>
      </c>
    </row>
    <row r="17" spans="2:23" ht="13.5" thickBot="1" x14ac:dyDescent="0.25">
      <c r="B17" s="35"/>
      <c r="C17" s="50">
        <f t="shared" si="9"/>
        <v>257241.59999999998</v>
      </c>
      <c r="D17" s="719" t="s">
        <v>673</v>
      </c>
      <c r="E17" s="50">
        <f t="shared" si="10"/>
        <v>257241.59999999998</v>
      </c>
      <c r="F17" s="720" t="s">
        <v>338</v>
      </c>
      <c r="G17" s="50">
        <f t="shared" si="11"/>
        <v>257241.59999999998</v>
      </c>
      <c r="H17" s="720" t="s">
        <v>338</v>
      </c>
      <c r="I17" s="50">
        <f t="shared" si="12"/>
        <v>257241.59999999998</v>
      </c>
      <c r="J17" s="720" t="s">
        <v>338</v>
      </c>
      <c r="K17" s="50">
        <f t="shared" si="13"/>
        <v>257241.59999999998</v>
      </c>
      <c r="L17" s="720" t="s">
        <v>65</v>
      </c>
      <c r="M17" s="50">
        <f t="shared" si="14"/>
        <v>257241.59999999998</v>
      </c>
      <c r="N17" s="720" t="s">
        <v>127</v>
      </c>
      <c r="O17" s="50">
        <f t="shared" si="15"/>
        <v>257241.59999999998</v>
      </c>
      <c r="P17" s="720" t="s">
        <v>130</v>
      </c>
      <c r="Q17" s="50">
        <f t="shared" si="16"/>
        <v>257241.59999999998</v>
      </c>
      <c r="R17" s="721">
        <v>44</v>
      </c>
      <c r="S17" s="722">
        <v>70</v>
      </c>
      <c r="T17" s="722">
        <v>1</v>
      </c>
      <c r="U17" s="722">
        <v>8352</v>
      </c>
      <c r="V17" s="722">
        <v>100</v>
      </c>
      <c r="W17" s="55">
        <f t="shared" si="17"/>
        <v>257241.59999999998</v>
      </c>
    </row>
    <row r="18" spans="2:23" ht="13.5" thickBot="1" x14ac:dyDescent="0.25">
      <c r="B18" s="35"/>
      <c r="C18" s="50">
        <f t="shared" si="9"/>
        <v>133920</v>
      </c>
      <c r="D18" s="719" t="s">
        <v>674</v>
      </c>
      <c r="E18" s="50">
        <f t="shared" si="10"/>
        <v>133920</v>
      </c>
      <c r="F18" s="720" t="s">
        <v>334</v>
      </c>
      <c r="G18" s="50">
        <f t="shared" si="11"/>
        <v>133920</v>
      </c>
      <c r="H18" s="720" t="s">
        <v>334</v>
      </c>
      <c r="I18" s="50">
        <f t="shared" si="12"/>
        <v>133920</v>
      </c>
      <c r="J18" s="720" t="s">
        <v>334</v>
      </c>
      <c r="K18" s="50">
        <f t="shared" si="13"/>
        <v>133920</v>
      </c>
      <c r="L18" s="720" t="s">
        <v>65</v>
      </c>
      <c r="M18" s="50">
        <f t="shared" si="14"/>
        <v>133920</v>
      </c>
      <c r="N18" s="720" t="s">
        <v>127</v>
      </c>
      <c r="O18" s="50">
        <f t="shared" si="15"/>
        <v>133920</v>
      </c>
      <c r="P18" s="720" t="s">
        <v>126</v>
      </c>
      <c r="Q18" s="50">
        <f t="shared" si="16"/>
        <v>133920</v>
      </c>
      <c r="R18" s="721">
        <v>80</v>
      </c>
      <c r="S18" s="722">
        <v>60</v>
      </c>
      <c r="T18" s="722">
        <v>1</v>
      </c>
      <c r="U18" s="722">
        <v>4650</v>
      </c>
      <c r="V18" s="722">
        <v>60</v>
      </c>
      <c r="W18" s="55">
        <f t="shared" si="17"/>
        <v>133920</v>
      </c>
    </row>
    <row r="19" spans="2:23" ht="13.5" thickBot="1" x14ac:dyDescent="0.25">
      <c r="B19" s="35"/>
      <c r="C19" s="50">
        <f t="shared" si="9"/>
        <v>331955.39999999997</v>
      </c>
      <c r="D19" s="719" t="s">
        <v>675</v>
      </c>
      <c r="E19" s="50">
        <f t="shared" si="10"/>
        <v>331955.39999999997</v>
      </c>
      <c r="F19" s="720" t="s">
        <v>334</v>
      </c>
      <c r="G19" s="50">
        <f t="shared" si="11"/>
        <v>331955.39999999997</v>
      </c>
      <c r="H19" s="720" t="s">
        <v>334</v>
      </c>
      <c r="I19" s="50">
        <f t="shared" si="12"/>
        <v>331955.39999999997</v>
      </c>
      <c r="J19" s="720" t="s">
        <v>334</v>
      </c>
      <c r="K19" s="50">
        <f t="shared" si="13"/>
        <v>331955.39999999997</v>
      </c>
      <c r="L19" s="720" t="s">
        <v>65</v>
      </c>
      <c r="M19" s="50">
        <f t="shared" si="14"/>
        <v>331955.39999999997</v>
      </c>
      <c r="N19" s="720" t="s">
        <v>127</v>
      </c>
      <c r="O19" s="50">
        <f t="shared" si="15"/>
        <v>331955.39999999997</v>
      </c>
      <c r="P19" s="720" t="s">
        <v>126</v>
      </c>
      <c r="Q19" s="50">
        <f t="shared" si="16"/>
        <v>331955.39999999997</v>
      </c>
      <c r="R19" s="721">
        <v>105</v>
      </c>
      <c r="S19" s="722">
        <v>70</v>
      </c>
      <c r="T19" s="722">
        <v>1</v>
      </c>
      <c r="U19" s="722">
        <v>6452</v>
      </c>
      <c r="V19" s="722">
        <v>70</v>
      </c>
      <c r="W19" s="55">
        <f t="shared" si="17"/>
        <v>331955.39999999997</v>
      </c>
    </row>
    <row r="20" spans="2:23" ht="13.5" thickBot="1" x14ac:dyDescent="0.25">
      <c r="B20" s="35"/>
      <c r="C20" s="50">
        <f t="shared" si="9"/>
        <v>76680</v>
      </c>
      <c r="D20" s="719" t="s">
        <v>676</v>
      </c>
      <c r="E20" s="50">
        <f t="shared" si="10"/>
        <v>76680</v>
      </c>
      <c r="F20" s="720" t="s">
        <v>334</v>
      </c>
      <c r="G20" s="50">
        <f t="shared" si="11"/>
        <v>76680</v>
      </c>
      <c r="H20" s="720" t="s">
        <v>334</v>
      </c>
      <c r="I20" s="50">
        <f t="shared" si="12"/>
        <v>76680</v>
      </c>
      <c r="J20" s="720" t="s">
        <v>334</v>
      </c>
      <c r="K20" s="50">
        <f t="shared" si="13"/>
        <v>76680</v>
      </c>
      <c r="L20" s="720" t="s">
        <v>65</v>
      </c>
      <c r="M20" s="50">
        <f t="shared" si="14"/>
        <v>76680</v>
      </c>
      <c r="N20" s="720" t="s">
        <v>127</v>
      </c>
      <c r="O20" s="50">
        <f t="shared" si="15"/>
        <v>76680</v>
      </c>
      <c r="P20" s="720" t="s">
        <v>129</v>
      </c>
      <c r="Q20" s="50">
        <f t="shared" si="16"/>
        <v>76680</v>
      </c>
      <c r="R20" s="721">
        <v>50</v>
      </c>
      <c r="S20" s="722">
        <v>60</v>
      </c>
      <c r="T20" s="722">
        <v>1</v>
      </c>
      <c r="U20" s="722">
        <v>4260</v>
      </c>
      <c r="V20" s="722">
        <v>60</v>
      </c>
      <c r="W20" s="55">
        <f t="shared" si="17"/>
        <v>76680</v>
      </c>
    </row>
    <row r="21" spans="2:23" ht="13.5" thickBot="1" x14ac:dyDescent="0.25">
      <c r="B21" s="35"/>
      <c r="C21" s="50">
        <f t="shared" si="9"/>
        <v>176520.96000000002</v>
      </c>
      <c r="D21" s="719" t="s">
        <v>677</v>
      </c>
      <c r="E21" s="50">
        <f t="shared" si="10"/>
        <v>176520.96000000002</v>
      </c>
      <c r="F21" s="720" t="s">
        <v>335</v>
      </c>
      <c r="G21" s="50">
        <f t="shared" si="11"/>
        <v>176520.96000000002</v>
      </c>
      <c r="H21" s="720" t="s">
        <v>335</v>
      </c>
      <c r="I21" s="50">
        <f t="shared" si="12"/>
        <v>176520.96000000002</v>
      </c>
      <c r="J21" s="720" t="s">
        <v>335</v>
      </c>
      <c r="K21" s="50">
        <f t="shared" si="13"/>
        <v>176520.96000000002</v>
      </c>
      <c r="L21" s="720" t="s">
        <v>65</v>
      </c>
      <c r="M21" s="50">
        <f t="shared" si="14"/>
        <v>176520.96000000002</v>
      </c>
      <c r="N21" s="720" t="s">
        <v>127</v>
      </c>
      <c r="O21" s="50">
        <f t="shared" si="15"/>
        <v>176520.96000000002</v>
      </c>
      <c r="P21" s="720" t="s">
        <v>129</v>
      </c>
      <c r="Q21" s="50">
        <f t="shared" si="16"/>
        <v>176520.96000000002</v>
      </c>
      <c r="R21" s="721">
        <v>66</v>
      </c>
      <c r="S21" s="722">
        <v>100</v>
      </c>
      <c r="T21" s="722">
        <v>1</v>
      </c>
      <c r="U21" s="722">
        <v>4776</v>
      </c>
      <c r="V21" s="722">
        <v>56.000000000000007</v>
      </c>
      <c r="W21" s="55">
        <f t="shared" si="17"/>
        <v>176520.96000000002</v>
      </c>
    </row>
    <row r="22" spans="2:23" ht="13.5" thickBot="1" x14ac:dyDescent="0.25">
      <c r="B22" s="35"/>
      <c r="C22" s="50">
        <f t="shared" si="9"/>
        <v>577962</v>
      </c>
      <c r="D22" s="719" t="s">
        <v>678</v>
      </c>
      <c r="E22" s="50">
        <f t="shared" si="10"/>
        <v>577962</v>
      </c>
      <c r="F22" s="720" t="s">
        <v>335</v>
      </c>
      <c r="G22" s="50">
        <f t="shared" si="11"/>
        <v>577962</v>
      </c>
      <c r="H22" s="720" t="s">
        <v>335</v>
      </c>
      <c r="I22" s="50">
        <f t="shared" si="12"/>
        <v>577962</v>
      </c>
      <c r="J22" s="720" t="s">
        <v>335</v>
      </c>
      <c r="K22" s="50">
        <f t="shared" si="13"/>
        <v>577962</v>
      </c>
      <c r="L22" s="720" t="s">
        <v>65</v>
      </c>
      <c r="M22" s="50">
        <f t="shared" si="14"/>
        <v>577962</v>
      </c>
      <c r="N22" s="720" t="s">
        <v>127</v>
      </c>
      <c r="O22" s="50">
        <f t="shared" si="15"/>
        <v>577962</v>
      </c>
      <c r="P22" s="720" t="s">
        <v>129</v>
      </c>
      <c r="Q22" s="50">
        <f t="shared" si="16"/>
        <v>577962</v>
      </c>
      <c r="R22" s="721">
        <v>139</v>
      </c>
      <c r="S22" s="722">
        <v>100</v>
      </c>
      <c r="T22" s="722">
        <v>1</v>
      </c>
      <c r="U22" s="722">
        <v>7560</v>
      </c>
      <c r="V22" s="722">
        <v>55.000000000000007</v>
      </c>
      <c r="W22" s="55">
        <f t="shared" si="17"/>
        <v>577962</v>
      </c>
    </row>
    <row r="23" spans="2:23" ht="13.5" thickBot="1" x14ac:dyDescent="0.25">
      <c r="B23" s="35"/>
      <c r="C23" s="50">
        <f t="shared" si="9"/>
        <v>309205.05000000005</v>
      </c>
      <c r="D23" s="719" t="s">
        <v>679</v>
      </c>
      <c r="E23" s="50">
        <f t="shared" si="10"/>
        <v>309205.05000000005</v>
      </c>
      <c r="F23" s="720" t="s">
        <v>335</v>
      </c>
      <c r="G23" s="50">
        <f t="shared" si="11"/>
        <v>309205.05000000005</v>
      </c>
      <c r="H23" s="720" t="s">
        <v>335</v>
      </c>
      <c r="I23" s="50">
        <f t="shared" si="12"/>
        <v>309205.05000000005</v>
      </c>
      <c r="J23" s="720" t="s">
        <v>335</v>
      </c>
      <c r="K23" s="50">
        <f t="shared" si="13"/>
        <v>309205.05000000005</v>
      </c>
      <c r="L23" s="720" t="s">
        <v>65</v>
      </c>
      <c r="M23" s="50">
        <f t="shared" si="14"/>
        <v>309205.05000000005</v>
      </c>
      <c r="N23" s="720" t="s">
        <v>127</v>
      </c>
      <c r="O23" s="50">
        <f t="shared" si="15"/>
        <v>309205.05000000005</v>
      </c>
      <c r="P23" s="720" t="s">
        <v>129</v>
      </c>
      <c r="Q23" s="50">
        <f t="shared" si="16"/>
        <v>309205.05000000005</v>
      </c>
      <c r="R23" s="721">
        <v>133</v>
      </c>
      <c r="S23" s="722">
        <v>100</v>
      </c>
      <c r="T23" s="722">
        <v>1</v>
      </c>
      <c r="U23" s="722">
        <v>4227</v>
      </c>
      <c r="V23" s="722">
        <v>55.000000000000007</v>
      </c>
      <c r="W23" s="55">
        <f t="shared" si="17"/>
        <v>309205.05000000005</v>
      </c>
    </row>
    <row r="24" spans="2:23" ht="13.5" thickBot="1" x14ac:dyDescent="0.25">
      <c r="B24" s="35"/>
      <c r="C24" s="50">
        <f t="shared" si="9"/>
        <v>79315.199999999997</v>
      </c>
      <c r="D24" s="719" t="s">
        <v>680</v>
      </c>
      <c r="E24" s="50">
        <f t="shared" si="10"/>
        <v>79315.199999999997</v>
      </c>
      <c r="F24" s="720" t="s">
        <v>335</v>
      </c>
      <c r="G24" s="50">
        <f t="shared" si="11"/>
        <v>79315.199999999997</v>
      </c>
      <c r="H24" s="720" t="s">
        <v>335</v>
      </c>
      <c r="I24" s="50">
        <f t="shared" si="12"/>
        <v>79315.199999999997</v>
      </c>
      <c r="J24" s="720" t="s">
        <v>335</v>
      </c>
      <c r="K24" s="50">
        <f t="shared" si="13"/>
        <v>79315.199999999997</v>
      </c>
      <c r="L24" s="720" t="s">
        <v>65</v>
      </c>
      <c r="M24" s="50">
        <f t="shared" si="14"/>
        <v>79315.199999999997</v>
      </c>
      <c r="N24" s="720" t="s">
        <v>127</v>
      </c>
      <c r="O24" s="50">
        <f t="shared" si="15"/>
        <v>79315.199999999997</v>
      </c>
      <c r="P24" s="720" t="s">
        <v>129</v>
      </c>
      <c r="Q24" s="50">
        <f t="shared" si="16"/>
        <v>79315.199999999997</v>
      </c>
      <c r="R24" s="721">
        <v>102</v>
      </c>
      <c r="S24" s="722">
        <v>100</v>
      </c>
      <c r="T24" s="722">
        <v>1</v>
      </c>
      <c r="U24" s="722">
        <v>1296</v>
      </c>
      <c r="V24" s="722">
        <v>60</v>
      </c>
      <c r="W24" s="55">
        <f t="shared" si="17"/>
        <v>79315.199999999997</v>
      </c>
    </row>
    <row r="25" spans="2:23" ht="13.5" thickBot="1" x14ac:dyDescent="0.25">
      <c r="B25" s="35"/>
      <c r="C25" s="50">
        <f t="shared" si="9"/>
        <v>763776</v>
      </c>
      <c r="D25" s="719" t="s">
        <v>681</v>
      </c>
      <c r="E25" s="50">
        <f t="shared" si="10"/>
        <v>763776</v>
      </c>
      <c r="F25" s="720" t="s">
        <v>335</v>
      </c>
      <c r="G25" s="50">
        <f t="shared" si="11"/>
        <v>763776</v>
      </c>
      <c r="H25" s="720" t="s">
        <v>335</v>
      </c>
      <c r="I25" s="50">
        <f t="shared" si="12"/>
        <v>763776</v>
      </c>
      <c r="J25" s="720" t="s">
        <v>335</v>
      </c>
      <c r="K25" s="50">
        <f t="shared" si="13"/>
        <v>763776</v>
      </c>
      <c r="L25" s="720" t="s">
        <v>65</v>
      </c>
      <c r="M25" s="50">
        <f t="shared" si="14"/>
        <v>763776</v>
      </c>
      <c r="N25" s="720" t="s">
        <v>127</v>
      </c>
      <c r="O25" s="50">
        <f t="shared" si="15"/>
        <v>763776</v>
      </c>
      <c r="P25" s="720" t="s">
        <v>129</v>
      </c>
      <c r="Q25" s="50">
        <f t="shared" si="16"/>
        <v>763776</v>
      </c>
      <c r="R25" s="721">
        <v>170</v>
      </c>
      <c r="S25" s="722">
        <v>100</v>
      </c>
      <c r="T25" s="722">
        <v>1</v>
      </c>
      <c r="U25" s="722">
        <v>7488</v>
      </c>
      <c r="V25" s="722">
        <v>60</v>
      </c>
      <c r="W25" s="55">
        <f t="shared" si="17"/>
        <v>763776</v>
      </c>
    </row>
    <row r="26" spans="2:23" ht="13.5" thickBot="1" x14ac:dyDescent="0.25">
      <c r="B26" s="35"/>
      <c r="C26" s="50">
        <f t="shared" si="9"/>
        <v>156000</v>
      </c>
      <c r="D26" s="719" t="s">
        <v>682</v>
      </c>
      <c r="E26" s="50">
        <f t="shared" si="10"/>
        <v>156000</v>
      </c>
      <c r="F26" s="720" t="s">
        <v>336</v>
      </c>
      <c r="G26" s="50">
        <f t="shared" si="11"/>
        <v>156000</v>
      </c>
      <c r="H26" s="720" t="s">
        <v>336</v>
      </c>
      <c r="I26" s="50">
        <f t="shared" si="12"/>
        <v>156000</v>
      </c>
      <c r="J26" s="720" t="s">
        <v>336</v>
      </c>
      <c r="K26" s="50">
        <f t="shared" si="13"/>
        <v>156000</v>
      </c>
      <c r="L26" s="720" t="s">
        <v>65</v>
      </c>
      <c r="M26" s="50">
        <f t="shared" si="14"/>
        <v>156000</v>
      </c>
      <c r="N26" s="720" t="s">
        <v>127</v>
      </c>
      <c r="O26" s="50">
        <f t="shared" si="15"/>
        <v>156000</v>
      </c>
      <c r="P26" s="720" t="s">
        <v>129</v>
      </c>
      <c r="Q26" s="50">
        <f t="shared" si="16"/>
        <v>156000</v>
      </c>
      <c r="R26" s="721">
        <v>65</v>
      </c>
      <c r="S26" s="722">
        <v>100</v>
      </c>
      <c r="T26" s="722">
        <v>1</v>
      </c>
      <c r="U26" s="722">
        <v>2400</v>
      </c>
      <c r="V26" s="722">
        <v>100</v>
      </c>
      <c r="W26" s="55">
        <f t="shared" si="17"/>
        <v>156000</v>
      </c>
    </row>
    <row r="27" spans="2:23" ht="13.5" thickBot="1" x14ac:dyDescent="0.25">
      <c r="B27" s="35"/>
      <c r="C27" s="50">
        <f t="shared" si="9"/>
        <v>380000</v>
      </c>
      <c r="D27" s="719" t="s">
        <v>683</v>
      </c>
      <c r="E27" s="50">
        <f t="shared" si="10"/>
        <v>380000</v>
      </c>
      <c r="F27" s="720" t="s">
        <v>336</v>
      </c>
      <c r="G27" s="50">
        <f t="shared" si="11"/>
        <v>380000</v>
      </c>
      <c r="H27" s="720" t="s">
        <v>336</v>
      </c>
      <c r="I27" s="50">
        <f t="shared" si="12"/>
        <v>380000</v>
      </c>
      <c r="J27" s="720" t="s">
        <v>336</v>
      </c>
      <c r="K27" s="50">
        <f t="shared" si="13"/>
        <v>380000</v>
      </c>
      <c r="L27" s="720" t="s">
        <v>65</v>
      </c>
      <c r="M27" s="50">
        <f t="shared" si="14"/>
        <v>380000</v>
      </c>
      <c r="N27" s="720" t="s">
        <v>127</v>
      </c>
      <c r="O27" s="50">
        <f t="shared" si="15"/>
        <v>380000</v>
      </c>
      <c r="P27" s="720" t="s">
        <v>129</v>
      </c>
      <c r="Q27" s="50">
        <f t="shared" si="16"/>
        <v>380000</v>
      </c>
      <c r="R27" s="721">
        <v>80</v>
      </c>
      <c r="S27" s="722">
        <v>100</v>
      </c>
      <c r="T27" s="722">
        <v>1</v>
      </c>
      <c r="U27" s="722">
        <v>4750</v>
      </c>
      <c r="V27" s="722">
        <v>100</v>
      </c>
      <c r="W27" s="55">
        <f t="shared" si="17"/>
        <v>380000</v>
      </c>
    </row>
    <row r="28" spans="2:23" ht="13.5" thickBot="1" x14ac:dyDescent="0.25">
      <c r="B28" s="35"/>
      <c r="C28" s="50">
        <f t="shared" si="9"/>
        <v>344000</v>
      </c>
      <c r="D28" s="719" t="s">
        <v>684</v>
      </c>
      <c r="E28" s="50">
        <f t="shared" si="10"/>
        <v>344000</v>
      </c>
      <c r="F28" s="720" t="s">
        <v>336</v>
      </c>
      <c r="G28" s="50">
        <f t="shared" si="11"/>
        <v>344000</v>
      </c>
      <c r="H28" s="720" t="s">
        <v>336</v>
      </c>
      <c r="I28" s="50">
        <f t="shared" si="12"/>
        <v>344000</v>
      </c>
      <c r="J28" s="720" t="s">
        <v>336</v>
      </c>
      <c r="K28" s="50">
        <f t="shared" si="13"/>
        <v>344000</v>
      </c>
      <c r="L28" s="720" t="s">
        <v>65</v>
      </c>
      <c r="M28" s="50">
        <f t="shared" si="14"/>
        <v>344000</v>
      </c>
      <c r="N28" s="720" t="s">
        <v>127</v>
      </c>
      <c r="O28" s="50">
        <f t="shared" si="15"/>
        <v>344000</v>
      </c>
      <c r="P28" s="720" t="s">
        <v>129</v>
      </c>
      <c r="Q28" s="50">
        <f t="shared" si="16"/>
        <v>344000</v>
      </c>
      <c r="R28" s="721">
        <v>80</v>
      </c>
      <c r="S28" s="722">
        <v>100</v>
      </c>
      <c r="T28" s="722">
        <v>1</v>
      </c>
      <c r="U28" s="722">
        <v>4300</v>
      </c>
      <c r="V28" s="722">
        <v>100</v>
      </c>
      <c r="W28" s="55">
        <f t="shared" si="17"/>
        <v>344000</v>
      </c>
    </row>
    <row r="29" spans="2:23" ht="13.5" thickBot="1" x14ac:dyDescent="0.25">
      <c r="B29" s="35"/>
      <c r="C29" s="50">
        <f t="shared" si="9"/>
        <v>380000</v>
      </c>
      <c r="D29" s="719" t="s">
        <v>685</v>
      </c>
      <c r="E29" s="50">
        <f t="shared" si="10"/>
        <v>380000</v>
      </c>
      <c r="F29" s="720" t="s">
        <v>336</v>
      </c>
      <c r="G29" s="50">
        <f t="shared" si="11"/>
        <v>380000</v>
      </c>
      <c r="H29" s="720" t="s">
        <v>336</v>
      </c>
      <c r="I29" s="50">
        <f t="shared" si="12"/>
        <v>380000</v>
      </c>
      <c r="J29" s="720" t="s">
        <v>336</v>
      </c>
      <c r="K29" s="50">
        <f t="shared" si="13"/>
        <v>380000</v>
      </c>
      <c r="L29" s="720" t="s">
        <v>65</v>
      </c>
      <c r="M29" s="50">
        <f t="shared" si="14"/>
        <v>380000</v>
      </c>
      <c r="N29" s="720" t="s">
        <v>127</v>
      </c>
      <c r="O29" s="50">
        <f t="shared" si="15"/>
        <v>380000</v>
      </c>
      <c r="P29" s="720" t="s">
        <v>129</v>
      </c>
      <c r="Q29" s="50">
        <f t="shared" si="16"/>
        <v>380000</v>
      </c>
      <c r="R29" s="721">
        <v>80</v>
      </c>
      <c r="S29" s="722">
        <v>100</v>
      </c>
      <c r="T29" s="722">
        <v>1</v>
      </c>
      <c r="U29" s="722">
        <v>4750</v>
      </c>
      <c r="V29" s="722">
        <v>100</v>
      </c>
      <c r="W29" s="55">
        <f t="shared" si="17"/>
        <v>380000</v>
      </c>
    </row>
    <row r="30" spans="2:23" ht="13.5" thickBot="1" x14ac:dyDescent="0.25">
      <c r="B30" s="35"/>
      <c r="C30" s="50">
        <f t="shared" si="9"/>
        <v>300000</v>
      </c>
      <c r="D30" s="719" t="s">
        <v>686</v>
      </c>
      <c r="E30" s="50">
        <f t="shared" si="10"/>
        <v>300000</v>
      </c>
      <c r="F30" s="720" t="s">
        <v>336</v>
      </c>
      <c r="G30" s="50">
        <f t="shared" si="11"/>
        <v>300000</v>
      </c>
      <c r="H30" s="720" t="s">
        <v>336</v>
      </c>
      <c r="I30" s="50">
        <f t="shared" si="12"/>
        <v>300000</v>
      </c>
      <c r="J30" s="720" t="s">
        <v>336</v>
      </c>
      <c r="K30" s="50">
        <f t="shared" si="13"/>
        <v>300000</v>
      </c>
      <c r="L30" s="720" t="s">
        <v>65</v>
      </c>
      <c r="M30" s="50">
        <f t="shared" si="14"/>
        <v>300000</v>
      </c>
      <c r="N30" s="720" t="s">
        <v>127</v>
      </c>
      <c r="O30" s="50">
        <f t="shared" si="15"/>
        <v>300000</v>
      </c>
      <c r="P30" s="720" t="s">
        <v>129</v>
      </c>
      <c r="Q30" s="50">
        <f t="shared" si="16"/>
        <v>300000</v>
      </c>
      <c r="R30" s="721">
        <v>100</v>
      </c>
      <c r="S30" s="722">
        <v>100</v>
      </c>
      <c r="T30" s="722">
        <v>1</v>
      </c>
      <c r="U30" s="722">
        <v>3000</v>
      </c>
      <c r="V30" s="722">
        <v>100</v>
      </c>
      <c r="W30" s="55">
        <f t="shared" si="17"/>
        <v>300000</v>
      </c>
    </row>
    <row r="31" spans="2:23" ht="13.5" thickBot="1" x14ac:dyDescent="0.25">
      <c r="B31" s="35"/>
      <c r="C31" s="50">
        <f t="shared" si="9"/>
        <v>230400</v>
      </c>
      <c r="D31" s="719" t="s">
        <v>687</v>
      </c>
      <c r="E31" s="50">
        <f t="shared" si="10"/>
        <v>230400</v>
      </c>
      <c r="F31" s="720" t="s">
        <v>336</v>
      </c>
      <c r="G31" s="50">
        <f t="shared" si="11"/>
        <v>230400</v>
      </c>
      <c r="H31" s="720" t="s">
        <v>336</v>
      </c>
      <c r="I31" s="50">
        <f t="shared" si="12"/>
        <v>230400</v>
      </c>
      <c r="J31" s="720" t="s">
        <v>336</v>
      </c>
      <c r="K31" s="50">
        <f t="shared" si="13"/>
        <v>230400</v>
      </c>
      <c r="L31" s="720" t="s">
        <v>65</v>
      </c>
      <c r="M31" s="50">
        <f t="shared" si="14"/>
        <v>230400</v>
      </c>
      <c r="N31" s="720" t="s">
        <v>127</v>
      </c>
      <c r="O31" s="50">
        <f t="shared" si="15"/>
        <v>230400</v>
      </c>
      <c r="P31" s="720" t="s">
        <v>129</v>
      </c>
      <c r="Q31" s="50">
        <f t="shared" si="16"/>
        <v>230400</v>
      </c>
      <c r="R31" s="721">
        <v>96</v>
      </c>
      <c r="S31" s="722">
        <v>100</v>
      </c>
      <c r="T31" s="722">
        <v>1</v>
      </c>
      <c r="U31" s="722">
        <v>2400</v>
      </c>
      <c r="V31" s="722">
        <v>100</v>
      </c>
      <c r="W31" s="55">
        <f t="shared" si="17"/>
        <v>230400</v>
      </c>
    </row>
    <row r="32" spans="2:23" ht="13.5" thickBot="1" x14ac:dyDescent="0.25">
      <c r="B32" s="35"/>
      <c r="C32" s="50">
        <f t="shared" si="9"/>
        <v>395000</v>
      </c>
      <c r="D32" s="719" t="s">
        <v>688</v>
      </c>
      <c r="E32" s="50">
        <f t="shared" si="10"/>
        <v>395000</v>
      </c>
      <c r="F32" s="720" t="s">
        <v>336</v>
      </c>
      <c r="G32" s="50">
        <f t="shared" si="11"/>
        <v>395000</v>
      </c>
      <c r="H32" s="720" t="s">
        <v>336</v>
      </c>
      <c r="I32" s="50">
        <f t="shared" si="12"/>
        <v>395000</v>
      </c>
      <c r="J32" s="720" t="s">
        <v>336</v>
      </c>
      <c r="K32" s="50">
        <f t="shared" si="13"/>
        <v>395000</v>
      </c>
      <c r="L32" s="720" t="s">
        <v>65</v>
      </c>
      <c r="M32" s="50">
        <f t="shared" si="14"/>
        <v>395000</v>
      </c>
      <c r="N32" s="720" t="s">
        <v>127</v>
      </c>
      <c r="O32" s="50">
        <f t="shared" si="15"/>
        <v>395000</v>
      </c>
      <c r="P32" s="720" t="s">
        <v>129</v>
      </c>
      <c r="Q32" s="50">
        <f t="shared" si="16"/>
        <v>395000</v>
      </c>
      <c r="R32" s="721">
        <v>100</v>
      </c>
      <c r="S32" s="722">
        <v>100</v>
      </c>
      <c r="T32" s="722">
        <v>1</v>
      </c>
      <c r="U32" s="722">
        <v>3950</v>
      </c>
      <c r="V32" s="722">
        <v>100</v>
      </c>
      <c r="W32" s="55">
        <f t="shared" si="17"/>
        <v>395000</v>
      </c>
    </row>
    <row r="33" spans="2:23" ht="13.5" thickBot="1" x14ac:dyDescent="0.25">
      <c r="B33" s="35"/>
      <c r="C33" s="50">
        <f t="shared" si="9"/>
        <v>360000</v>
      </c>
      <c r="D33" s="719" t="s">
        <v>689</v>
      </c>
      <c r="E33" s="50">
        <f t="shared" si="10"/>
        <v>360000</v>
      </c>
      <c r="F33" s="720" t="s">
        <v>336</v>
      </c>
      <c r="G33" s="50">
        <f t="shared" si="11"/>
        <v>360000</v>
      </c>
      <c r="H33" s="720" t="s">
        <v>336</v>
      </c>
      <c r="I33" s="50">
        <f t="shared" si="12"/>
        <v>360000</v>
      </c>
      <c r="J33" s="720" t="s">
        <v>336</v>
      </c>
      <c r="K33" s="50">
        <f t="shared" si="13"/>
        <v>360000</v>
      </c>
      <c r="L33" s="720" t="s">
        <v>65</v>
      </c>
      <c r="M33" s="50">
        <f t="shared" si="14"/>
        <v>360000</v>
      </c>
      <c r="N33" s="720" t="s">
        <v>127</v>
      </c>
      <c r="O33" s="50">
        <f t="shared" si="15"/>
        <v>360000</v>
      </c>
      <c r="P33" s="720" t="s">
        <v>129</v>
      </c>
      <c r="Q33" s="50">
        <f t="shared" si="16"/>
        <v>360000</v>
      </c>
      <c r="R33" s="721">
        <v>80</v>
      </c>
      <c r="S33" s="722">
        <v>100</v>
      </c>
      <c r="T33" s="722">
        <v>1</v>
      </c>
      <c r="U33" s="722">
        <v>4500</v>
      </c>
      <c r="V33" s="722">
        <v>100</v>
      </c>
      <c r="W33" s="55">
        <f t="shared" si="17"/>
        <v>360000</v>
      </c>
    </row>
    <row r="34" spans="2:23" ht="13.5" thickBot="1" x14ac:dyDescent="0.25">
      <c r="B34" s="35"/>
      <c r="C34" s="50">
        <f t="shared" si="9"/>
        <v>360000</v>
      </c>
      <c r="D34" s="719" t="s">
        <v>690</v>
      </c>
      <c r="E34" s="50">
        <f t="shared" si="10"/>
        <v>360000</v>
      </c>
      <c r="F34" s="720" t="s">
        <v>336</v>
      </c>
      <c r="G34" s="50">
        <f t="shared" si="11"/>
        <v>360000</v>
      </c>
      <c r="H34" s="720" t="s">
        <v>336</v>
      </c>
      <c r="I34" s="50">
        <f t="shared" si="12"/>
        <v>360000</v>
      </c>
      <c r="J34" s="720" t="s">
        <v>336</v>
      </c>
      <c r="K34" s="50">
        <f t="shared" si="13"/>
        <v>360000</v>
      </c>
      <c r="L34" s="720" t="s">
        <v>65</v>
      </c>
      <c r="M34" s="50">
        <f t="shared" si="14"/>
        <v>360000</v>
      </c>
      <c r="N34" s="720" t="s">
        <v>127</v>
      </c>
      <c r="O34" s="50">
        <f t="shared" si="15"/>
        <v>360000</v>
      </c>
      <c r="P34" s="720" t="s">
        <v>129</v>
      </c>
      <c r="Q34" s="50">
        <f t="shared" si="16"/>
        <v>360000</v>
      </c>
      <c r="R34" s="721">
        <v>80</v>
      </c>
      <c r="S34" s="722">
        <v>100</v>
      </c>
      <c r="T34" s="722">
        <v>1</v>
      </c>
      <c r="U34" s="722">
        <v>4500</v>
      </c>
      <c r="V34" s="722">
        <v>100</v>
      </c>
      <c r="W34" s="55">
        <f t="shared" si="17"/>
        <v>360000</v>
      </c>
    </row>
    <row r="35" spans="2:23" ht="13.5" thickBot="1" x14ac:dyDescent="0.25">
      <c r="B35" s="35"/>
      <c r="C35" s="50">
        <f t="shared" si="9"/>
        <v>360000</v>
      </c>
      <c r="D35" s="719" t="s">
        <v>691</v>
      </c>
      <c r="E35" s="50">
        <f t="shared" si="10"/>
        <v>360000</v>
      </c>
      <c r="F35" s="720" t="s">
        <v>336</v>
      </c>
      <c r="G35" s="50">
        <f t="shared" si="11"/>
        <v>360000</v>
      </c>
      <c r="H35" s="720" t="s">
        <v>336</v>
      </c>
      <c r="I35" s="50">
        <f t="shared" si="12"/>
        <v>360000</v>
      </c>
      <c r="J35" s="720" t="s">
        <v>336</v>
      </c>
      <c r="K35" s="50">
        <f t="shared" si="13"/>
        <v>360000</v>
      </c>
      <c r="L35" s="720" t="s">
        <v>65</v>
      </c>
      <c r="M35" s="50">
        <f t="shared" si="14"/>
        <v>360000</v>
      </c>
      <c r="N35" s="720" t="s">
        <v>127</v>
      </c>
      <c r="O35" s="50">
        <f t="shared" si="15"/>
        <v>360000</v>
      </c>
      <c r="P35" s="720" t="s">
        <v>129</v>
      </c>
      <c r="Q35" s="50">
        <f t="shared" si="16"/>
        <v>360000</v>
      </c>
      <c r="R35" s="721">
        <v>80</v>
      </c>
      <c r="S35" s="722">
        <v>100</v>
      </c>
      <c r="T35" s="722">
        <v>1</v>
      </c>
      <c r="U35" s="722">
        <v>4500</v>
      </c>
      <c r="V35" s="722">
        <v>100</v>
      </c>
      <c r="W35" s="55">
        <f t="shared" si="17"/>
        <v>360000</v>
      </c>
    </row>
    <row r="36" spans="2:23" ht="13.5" thickBot="1" x14ac:dyDescent="0.25">
      <c r="B36" s="35"/>
      <c r="C36" s="50">
        <f t="shared" si="9"/>
        <v>136488</v>
      </c>
      <c r="D36" s="719" t="s">
        <v>692</v>
      </c>
      <c r="E36" s="50">
        <f t="shared" si="10"/>
        <v>136488</v>
      </c>
      <c r="F36" s="720" t="s">
        <v>336</v>
      </c>
      <c r="G36" s="50">
        <f t="shared" si="11"/>
        <v>136488</v>
      </c>
      <c r="H36" s="720" t="s">
        <v>336</v>
      </c>
      <c r="I36" s="50">
        <f t="shared" si="12"/>
        <v>136488</v>
      </c>
      <c r="J36" s="720" t="s">
        <v>336</v>
      </c>
      <c r="K36" s="50">
        <f t="shared" si="13"/>
        <v>136488</v>
      </c>
      <c r="L36" s="720" t="s">
        <v>65</v>
      </c>
      <c r="M36" s="50">
        <f t="shared" si="14"/>
        <v>136488</v>
      </c>
      <c r="N36" s="720" t="s">
        <v>127</v>
      </c>
      <c r="O36" s="50">
        <f t="shared" si="15"/>
        <v>136488</v>
      </c>
      <c r="P36" s="720" t="s">
        <v>129</v>
      </c>
      <c r="Q36" s="50">
        <f t="shared" si="16"/>
        <v>136488</v>
      </c>
      <c r="R36" s="721">
        <v>47</v>
      </c>
      <c r="S36" s="722">
        <v>100</v>
      </c>
      <c r="T36" s="722">
        <v>1</v>
      </c>
      <c r="U36" s="722">
        <v>2904</v>
      </c>
      <c r="V36" s="722">
        <v>100</v>
      </c>
      <c r="W36" s="55">
        <f t="shared" si="17"/>
        <v>136488</v>
      </c>
    </row>
    <row r="37" spans="2:23" ht="13.5" thickBot="1" x14ac:dyDescent="0.25">
      <c r="B37" s="35"/>
      <c r="C37" s="50">
        <f t="shared" si="9"/>
        <v>163560</v>
      </c>
      <c r="D37" s="719" t="s">
        <v>693</v>
      </c>
      <c r="E37" s="50">
        <f t="shared" si="10"/>
        <v>163560</v>
      </c>
      <c r="F37" s="720" t="s">
        <v>336</v>
      </c>
      <c r="G37" s="50">
        <f t="shared" si="11"/>
        <v>163560</v>
      </c>
      <c r="H37" s="720" t="s">
        <v>336</v>
      </c>
      <c r="I37" s="50">
        <f t="shared" si="12"/>
        <v>163560</v>
      </c>
      <c r="J37" s="720" t="s">
        <v>336</v>
      </c>
      <c r="K37" s="50">
        <f t="shared" si="13"/>
        <v>163560</v>
      </c>
      <c r="L37" s="720" t="s">
        <v>65</v>
      </c>
      <c r="M37" s="50">
        <f t="shared" si="14"/>
        <v>163560</v>
      </c>
      <c r="N37" s="720" t="s">
        <v>127</v>
      </c>
      <c r="O37" s="50">
        <f t="shared" si="15"/>
        <v>163560</v>
      </c>
      <c r="P37" s="720" t="s">
        <v>129</v>
      </c>
      <c r="Q37" s="50">
        <f t="shared" si="16"/>
        <v>163560</v>
      </c>
      <c r="R37" s="721">
        <v>47</v>
      </c>
      <c r="S37" s="722">
        <v>100</v>
      </c>
      <c r="T37" s="722">
        <v>1</v>
      </c>
      <c r="U37" s="722">
        <v>3480</v>
      </c>
      <c r="V37" s="722">
        <v>100</v>
      </c>
      <c r="W37" s="55">
        <f t="shared" si="17"/>
        <v>163560</v>
      </c>
    </row>
    <row r="38" spans="2:23" ht="13.5" thickBot="1" x14ac:dyDescent="0.25">
      <c r="B38" s="35"/>
      <c r="C38" s="50">
        <f t="shared" si="9"/>
        <v>75764</v>
      </c>
      <c r="D38" s="719" t="s">
        <v>694</v>
      </c>
      <c r="E38" s="50">
        <f t="shared" si="10"/>
        <v>75764</v>
      </c>
      <c r="F38" s="720" t="s">
        <v>336</v>
      </c>
      <c r="G38" s="50">
        <f t="shared" si="11"/>
        <v>75764</v>
      </c>
      <c r="H38" s="720" t="s">
        <v>336</v>
      </c>
      <c r="I38" s="50">
        <f t="shared" si="12"/>
        <v>75764</v>
      </c>
      <c r="J38" s="720" t="s">
        <v>336</v>
      </c>
      <c r="K38" s="50">
        <f t="shared" si="13"/>
        <v>75764</v>
      </c>
      <c r="L38" s="720" t="s">
        <v>65</v>
      </c>
      <c r="M38" s="50">
        <f t="shared" si="14"/>
        <v>75764</v>
      </c>
      <c r="N38" s="720" t="s">
        <v>127</v>
      </c>
      <c r="O38" s="50">
        <f t="shared" si="15"/>
        <v>75764</v>
      </c>
      <c r="P38" s="720" t="s">
        <v>129</v>
      </c>
      <c r="Q38" s="50">
        <f t="shared" si="16"/>
        <v>75764</v>
      </c>
      <c r="R38" s="721">
        <v>47</v>
      </c>
      <c r="S38" s="722">
        <v>100</v>
      </c>
      <c r="T38" s="722">
        <v>1</v>
      </c>
      <c r="U38" s="722">
        <v>1612</v>
      </c>
      <c r="V38" s="722">
        <v>100</v>
      </c>
      <c r="W38" s="55">
        <f t="shared" si="17"/>
        <v>75764</v>
      </c>
    </row>
    <row r="39" spans="2:23" ht="13.5" thickBot="1" x14ac:dyDescent="0.25">
      <c r="B39" s="35"/>
      <c r="C39" s="50">
        <f t="shared" si="9"/>
        <v>12012</v>
      </c>
      <c r="D39" s="719" t="s">
        <v>695</v>
      </c>
      <c r="E39" s="50">
        <f t="shared" si="10"/>
        <v>12012</v>
      </c>
      <c r="F39" s="720" t="s">
        <v>336</v>
      </c>
      <c r="G39" s="50">
        <f t="shared" si="11"/>
        <v>12012</v>
      </c>
      <c r="H39" s="720" t="s">
        <v>336</v>
      </c>
      <c r="I39" s="50">
        <f t="shared" si="12"/>
        <v>12012</v>
      </c>
      <c r="J39" s="720" t="s">
        <v>336</v>
      </c>
      <c r="K39" s="50">
        <f t="shared" si="13"/>
        <v>12012</v>
      </c>
      <c r="L39" s="720" t="s">
        <v>65</v>
      </c>
      <c r="M39" s="50">
        <f t="shared" si="14"/>
        <v>12012</v>
      </c>
      <c r="N39" s="720" t="s">
        <v>127</v>
      </c>
      <c r="O39" s="50">
        <f t="shared" si="15"/>
        <v>12012</v>
      </c>
      <c r="P39" s="720" t="s">
        <v>129</v>
      </c>
      <c r="Q39" s="50">
        <f t="shared" si="16"/>
        <v>12012</v>
      </c>
      <c r="R39" s="721">
        <v>42</v>
      </c>
      <c r="S39" s="722">
        <v>100</v>
      </c>
      <c r="T39" s="722">
        <v>1</v>
      </c>
      <c r="U39" s="722">
        <v>286</v>
      </c>
      <c r="V39" s="722">
        <v>100</v>
      </c>
      <c r="W39" s="55">
        <f t="shared" si="17"/>
        <v>12012</v>
      </c>
    </row>
    <row r="40" spans="2:23" ht="13.5" thickBot="1" x14ac:dyDescent="0.25">
      <c r="B40" s="35"/>
      <c r="C40" s="50">
        <f t="shared" ref="C40:C55" si="18">G40</f>
        <v>34524</v>
      </c>
      <c r="D40" s="719" t="s">
        <v>696</v>
      </c>
      <c r="E40" s="50">
        <f t="shared" ref="E40:E55" si="19">I40</f>
        <v>34524</v>
      </c>
      <c r="F40" s="720" t="s">
        <v>336</v>
      </c>
      <c r="G40" s="50">
        <f t="shared" ref="G40:G55" si="20">I40</f>
        <v>34524</v>
      </c>
      <c r="H40" s="720" t="s">
        <v>336</v>
      </c>
      <c r="I40" s="50">
        <f t="shared" ref="I40:I55" si="21">K40</f>
        <v>34524</v>
      </c>
      <c r="J40" s="720" t="s">
        <v>336</v>
      </c>
      <c r="K40" s="50">
        <f t="shared" ref="K40:K55" si="22">M40</f>
        <v>34524</v>
      </c>
      <c r="L40" s="720" t="s">
        <v>65</v>
      </c>
      <c r="M40" s="50">
        <f t="shared" ref="M40:M55" si="23">O40</f>
        <v>34524</v>
      </c>
      <c r="N40" s="720" t="s">
        <v>127</v>
      </c>
      <c r="O40" s="50">
        <f t="shared" ref="O40:O55" si="24">Q40</f>
        <v>34524</v>
      </c>
      <c r="P40" s="720" t="s">
        <v>129</v>
      </c>
      <c r="Q40" s="50">
        <f t="shared" ref="Q40:Q55" si="25">W40</f>
        <v>34524</v>
      </c>
      <c r="R40" s="721">
        <v>42</v>
      </c>
      <c r="S40" s="722">
        <v>100</v>
      </c>
      <c r="T40" s="722">
        <v>1</v>
      </c>
      <c r="U40" s="722">
        <v>822</v>
      </c>
      <c r="V40" s="722">
        <v>100</v>
      </c>
      <c r="W40" s="55">
        <f t="shared" ref="W40:W55" si="26">R40*(S40/100)*T40*U40*(V40/100)</f>
        <v>34524</v>
      </c>
    </row>
    <row r="41" spans="2:23" ht="13.5" thickBot="1" x14ac:dyDescent="0.25">
      <c r="B41" s="35"/>
      <c r="C41" s="50">
        <f t="shared" si="18"/>
        <v>673352</v>
      </c>
      <c r="D41" s="719" t="s">
        <v>697</v>
      </c>
      <c r="E41" s="50">
        <f t="shared" si="19"/>
        <v>673352</v>
      </c>
      <c r="F41" s="720" t="s">
        <v>337</v>
      </c>
      <c r="G41" s="50">
        <f t="shared" si="20"/>
        <v>673352</v>
      </c>
      <c r="H41" s="720" t="s">
        <v>337</v>
      </c>
      <c r="I41" s="50">
        <f t="shared" si="21"/>
        <v>673352</v>
      </c>
      <c r="J41" s="720" t="s">
        <v>337</v>
      </c>
      <c r="K41" s="50">
        <f t="shared" si="22"/>
        <v>673352</v>
      </c>
      <c r="L41" s="720" t="s">
        <v>65</v>
      </c>
      <c r="M41" s="50">
        <f t="shared" si="23"/>
        <v>673352</v>
      </c>
      <c r="N41" s="720" t="s">
        <v>133</v>
      </c>
      <c r="O41" s="50">
        <f t="shared" si="24"/>
        <v>673352</v>
      </c>
      <c r="P41" s="720" t="s">
        <v>123</v>
      </c>
      <c r="Q41" s="50">
        <f t="shared" si="25"/>
        <v>673352</v>
      </c>
      <c r="R41" s="721">
        <v>115.3</v>
      </c>
      <c r="S41" s="722">
        <v>100</v>
      </c>
      <c r="T41" s="722">
        <v>1</v>
      </c>
      <c r="U41" s="722">
        <v>5840</v>
      </c>
      <c r="V41" s="722">
        <v>100</v>
      </c>
      <c r="W41" s="55">
        <f t="shared" si="26"/>
        <v>673352</v>
      </c>
    </row>
    <row r="42" spans="2:23" ht="13.5" thickBot="1" x14ac:dyDescent="0.25">
      <c r="B42" s="35"/>
      <c r="C42" s="50">
        <f t="shared" si="18"/>
        <v>673352</v>
      </c>
      <c r="D42" s="719" t="s">
        <v>697</v>
      </c>
      <c r="E42" s="50">
        <f t="shared" si="19"/>
        <v>673352</v>
      </c>
      <c r="F42" s="720" t="s">
        <v>337</v>
      </c>
      <c r="G42" s="50">
        <f t="shared" si="20"/>
        <v>673352</v>
      </c>
      <c r="H42" s="720" t="s">
        <v>337</v>
      </c>
      <c r="I42" s="50">
        <f t="shared" si="21"/>
        <v>673352</v>
      </c>
      <c r="J42" s="720" t="s">
        <v>337</v>
      </c>
      <c r="K42" s="50">
        <f t="shared" si="22"/>
        <v>673352</v>
      </c>
      <c r="L42" s="720" t="s">
        <v>65</v>
      </c>
      <c r="M42" s="50">
        <f t="shared" si="23"/>
        <v>673352</v>
      </c>
      <c r="N42" s="720" t="s">
        <v>133</v>
      </c>
      <c r="O42" s="50">
        <f t="shared" si="24"/>
        <v>673352</v>
      </c>
      <c r="P42" s="720" t="s">
        <v>123</v>
      </c>
      <c r="Q42" s="50">
        <f t="shared" si="25"/>
        <v>673352</v>
      </c>
      <c r="R42" s="721">
        <v>115.3</v>
      </c>
      <c r="S42" s="722">
        <v>100</v>
      </c>
      <c r="T42" s="722">
        <v>1</v>
      </c>
      <c r="U42" s="722">
        <v>5840</v>
      </c>
      <c r="V42" s="722">
        <v>100</v>
      </c>
      <c r="W42" s="55">
        <f t="shared" si="26"/>
        <v>673352</v>
      </c>
    </row>
    <row r="43" spans="2:23" ht="13.5" thickBot="1" x14ac:dyDescent="0.25">
      <c r="B43" s="35"/>
      <c r="C43" s="50">
        <f t="shared" si="18"/>
        <v>653496</v>
      </c>
      <c r="D43" s="719" t="s">
        <v>698</v>
      </c>
      <c r="E43" s="50">
        <f t="shared" si="19"/>
        <v>653496</v>
      </c>
      <c r="F43" s="720" t="s">
        <v>344</v>
      </c>
      <c r="G43" s="50">
        <f t="shared" si="20"/>
        <v>653496</v>
      </c>
      <c r="H43" s="720" t="s">
        <v>344</v>
      </c>
      <c r="I43" s="50">
        <f t="shared" si="21"/>
        <v>653496</v>
      </c>
      <c r="J43" s="720" t="s">
        <v>344</v>
      </c>
      <c r="K43" s="50">
        <f t="shared" si="22"/>
        <v>653496</v>
      </c>
      <c r="L43" s="720" t="s">
        <v>65</v>
      </c>
      <c r="M43" s="50">
        <f t="shared" si="23"/>
        <v>653496</v>
      </c>
      <c r="N43" s="720" t="s">
        <v>133</v>
      </c>
      <c r="O43" s="50">
        <f t="shared" si="24"/>
        <v>653496</v>
      </c>
      <c r="P43" s="720" t="s">
        <v>123</v>
      </c>
      <c r="Q43" s="50">
        <f t="shared" si="25"/>
        <v>653496</v>
      </c>
      <c r="R43" s="721">
        <v>111.9</v>
      </c>
      <c r="S43" s="722">
        <v>100</v>
      </c>
      <c r="T43" s="722">
        <v>1</v>
      </c>
      <c r="U43" s="722">
        <v>5840</v>
      </c>
      <c r="V43" s="722">
        <v>100</v>
      </c>
      <c r="W43" s="55">
        <f t="shared" si="26"/>
        <v>653496</v>
      </c>
    </row>
    <row r="44" spans="2:23" ht="13.5" thickBot="1" x14ac:dyDescent="0.25">
      <c r="B44" s="35"/>
      <c r="C44" s="50">
        <f t="shared" si="18"/>
        <v>0</v>
      </c>
      <c r="D44" s="533"/>
      <c r="E44" s="50">
        <f t="shared" si="19"/>
        <v>0</v>
      </c>
      <c r="F44" s="36"/>
      <c r="G44" s="50">
        <f t="shared" si="20"/>
        <v>0</v>
      </c>
      <c r="H44" s="36"/>
      <c r="I44" s="50">
        <f t="shared" si="21"/>
        <v>0</v>
      </c>
      <c r="J44" s="36"/>
      <c r="K44" s="50">
        <f t="shared" si="22"/>
        <v>0</v>
      </c>
      <c r="L44" s="36"/>
      <c r="M44" s="50">
        <f t="shared" si="23"/>
        <v>0</v>
      </c>
      <c r="N44" s="36"/>
      <c r="O44" s="50">
        <f t="shared" si="24"/>
        <v>0</v>
      </c>
      <c r="P44" s="36"/>
      <c r="Q44" s="50">
        <f t="shared" si="25"/>
        <v>0</v>
      </c>
      <c r="R44" s="37"/>
      <c r="S44" s="38"/>
      <c r="T44" s="38"/>
      <c r="U44" s="38"/>
      <c r="V44" s="38"/>
      <c r="W44" s="55">
        <f t="shared" si="26"/>
        <v>0</v>
      </c>
    </row>
    <row r="45" spans="2:23" ht="13.5" thickBot="1" x14ac:dyDescent="0.25">
      <c r="B45" s="35"/>
      <c r="C45" s="50">
        <f t="shared" si="18"/>
        <v>0</v>
      </c>
      <c r="D45" s="533"/>
      <c r="E45" s="50">
        <f t="shared" si="19"/>
        <v>0</v>
      </c>
      <c r="F45" s="36"/>
      <c r="G45" s="50">
        <f t="shared" si="20"/>
        <v>0</v>
      </c>
      <c r="H45" s="36"/>
      <c r="I45" s="50">
        <f t="shared" si="21"/>
        <v>0</v>
      </c>
      <c r="J45" s="36"/>
      <c r="K45" s="50">
        <f t="shared" si="22"/>
        <v>0</v>
      </c>
      <c r="L45" s="36"/>
      <c r="M45" s="50">
        <f t="shared" si="23"/>
        <v>0</v>
      </c>
      <c r="N45" s="36"/>
      <c r="O45" s="50">
        <f t="shared" si="24"/>
        <v>0</v>
      </c>
      <c r="P45" s="36"/>
      <c r="Q45" s="50">
        <f t="shared" si="25"/>
        <v>0</v>
      </c>
      <c r="R45" s="37"/>
      <c r="S45" s="38"/>
      <c r="T45" s="38"/>
      <c r="U45" s="38"/>
      <c r="V45" s="38"/>
      <c r="W45" s="55">
        <f t="shared" si="26"/>
        <v>0</v>
      </c>
    </row>
    <row r="46" spans="2:23" ht="13.5" thickBot="1" x14ac:dyDescent="0.25">
      <c r="B46" s="35"/>
      <c r="C46" s="50">
        <f t="shared" si="18"/>
        <v>0</v>
      </c>
      <c r="D46" s="533"/>
      <c r="E46" s="50">
        <f t="shared" si="19"/>
        <v>0</v>
      </c>
      <c r="F46" s="36"/>
      <c r="G46" s="50">
        <f t="shared" si="20"/>
        <v>0</v>
      </c>
      <c r="H46" s="36"/>
      <c r="I46" s="50">
        <f t="shared" si="21"/>
        <v>0</v>
      </c>
      <c r="J46" s="36"/>
      <c r="K46" s="50">
        <f t="shared" si="22"/>
        <v>0</v>
      </c>
      <c r="L46" s="36"/>
      <c r="M46" s="50">
        <f t="shared" si="23"/>
        <v>0</v>
      </c>
      <c r="N46" s="36"/>
      <c r="O46" s="50">
        <f t="shared" si="24"/>
        <v>0</v>
      </c>
      <c r="P46" s="36"/>
      <c r="Q46" s="50">
        <f t="shared" si="25"/>
        <v>0</v>
      </c>
      <c r="R46" s="37"/>
      <c r="S46" s="38"/>
      <c r="T46" s="38"/>
      <c r="U46" s="38"/>
      <c r="V46" s="38"/>
      <c r="W46" s="55">
        <f t="shared" si="26"/>
        <v>0</v>
      </c>
    </row>
    <row r="47" spans="2:23" ht="13.5" thickBot="1" x14ac:dyDescent="0.25">
      <c r="B47" s="35"/>
      <c r="C47" s="50">
        <f t="shared" si="18"/>
        <v>0</v>
      </c>
      <c r="D47" s="533"/>
      <c r="E47" s="50">
        <f t="shared" si="19"/>
        <v>0</v>
      </c>
      <c r="F47" s="36"/>
      <c r="G47" s="50">
        <f t="shared" si="20"/>
        <v>0</v>
      </c>
      <c r="H47" s="36"/>
      <c r="I47" s="50">
        <f t="shared" si="21"/>
        <v>0</v>
      </c>
      <c r="J47" s="36"/>
      <c r="K47" s="50">
        <f t="shared" si="22"/>
        <v>0</v>
      </c>
      <c r="L47" s="36"/>
      <c r="M47" s="50">
        <f t="shared" si="23"/>
        <v>0</v>
      </c>
      <c r="N47" s="36"/>
      <c r="O47" s="50">
        <f t="shared" si="24"/>
        <v>0</v>
      </c>
      <c r="P47" s="36"/>
      <c r="Q47" s="50">
        <f t="shared" si="25"/>
        <v>0</v>
      </c>
      <c r="R47" s="37"/>
      <c r="S47" s="38"/>
      <c r="T47" s="38"/>
      <c r="U47" s="38"/>
      <c r="V47" s="38"/>
      <c r="W47" s="55">
        <f t="shared" si="26"/>
        <v>0</v>
      </c>
    </row>
    <row r="48" spans="2:23" ht="13.5" thickBot="1" x14ac:dyDescent="0.25">
      <c r="B48" s="35"/>
      <c r="C48" s="50">
        <f t="shared" si="18"/>
        <v>0</v>
      </c>
      <c r="D48" s="533"/>
      <c r="E48" s="50">
        <f t="shared" si="19"/>
        <v>0</v>
      </c>
      <c r="F48" s="36"/>
      <c r="G48" s="50">
        <f t="shared" si="20"/>
        <v>0</v>
      </c>
      <c r="H48" s="36"/>
      <c r="I48" s="50">
        <f t="shared" si="21"/>
        <v>0</v>
      </c>
      <c r="J48" s="36"/>
      <c r="K48" s="50">
        <f t="shared" si="22"/>
        <v>0</v>
      </c>
      <c r="L48" s="36"/>
      <c r="M48" s="50">
        <f t="shared" si="23"/>
        <v>0</v>
      </c>
      <c r="N48" s="36"/>
      <c r="O48" s="50">
        <f t="shared" si="24"/>
        <v>0</v>
      </c>
      <c r="P48" s="36"/>
      <c r="Q48" s="50">
        <f t="shared" si="25"/>
        <v>0</v>
      </c>
      <c r="R48" s="37"/>
      <c r="S48" s="38"/>
      <c r="T48" s="38"/>
      <c r="U48" s="38"/>
      <c r="V48" s="38"/>
      <c r="W48" s="55">
        <f t="shared" si="26"/>
        <v>0</v>
      </c>
    </row>
    <row r="49" spans="2:23" ht="13.5" thickBot="1" x14ac:dyDescent="0.25">
      <c r="B49" s="35"/>
      <c r="C49" s="50">
        <f t="shared" si="18"/>
        <v>0</v>
      </c>
      <c r="D49" s="533"/>
      <c r="E49" s="50">
        <f t="shared" si="19"/>
        <v>0</v>
      </c>
      <c r="F49" s="36"/>
      <c r="G49" s="50">
        <f t="shared" si="20"/>
        <v>0</v>
      </c>
      <c r="H49" s="36"/>
      <c r="I49" s="50">
        <f t="shared" si="21"/>
        <v>0</v>
      </c>
      <c r="J49" s="36"/>
      <c r="K49" s="50">
        <f t="shared" si="22"/>
        <v>0</v>
      </c>
      <c r="L49" s="36"/>
      <c r="M49" s="50">
        <f t="shared" si="23"/>
        <v>0</v>
      </c>
      <c r="N49" s="36"/>
      <c r="O49" s="50">
        <f t="shared" si="24"/>
        <v>0</v>
      </c>
      <c r="P49" s="36"/>
      <c r="Q49" s="50">
        <f t="shared" si="25"/>
        <v>0</v>
      </c>
      <c r="R49" s="37"/>
      <c r="S49" s="38"/>
      <c r="T49" s="38"/>
      <c r="U49" s="38"/>
      <c r="V49" s="38"/>
      <c r="W49" s="55">
        <f t="shared" si="26"/>
        <v>0</v>
      </c>
    </row>
    <row r="50" spans="2:23" ht="13.5" thickBot="1" x14ac:dyDescent="0.25">
      <c r="B50" s="35"/>
      <c r="C50" s="50">
        <f t="shared" si="18"/>
        <v>0</v>
      </c>
      <c r="D50" s="533"/>
      <c r="E50" s="50">
        <f t="shared" si="19"/>
        <v>0</v>
      </c>
      <c r="F50" s="36"/>
      <c r="G50" s="50">
        <f t="shared" si="20"/>
        <v>0</v>
      </c>
      <c r="H50" s="36"/>
      <c r="I50" s="50">
        <f t="shared" si="21"/>
        <v>0</v>
      </c>
      <c r="J50" s="36"/>
      <c r="K50" s="50">
        <f t="shared" si="22"/>
        <v>0</v>
      </c>
      <c r="L50" s="36"/>
      <c r="M50" s="50">
        <f t="shared" si="23"/>
        <v>0</v>
      </c>
      <c r="N50" s="36"/>
      <c r="O50" s="50">
        <f t="shared" si="24"/>
        <v>0</v>
      </c>
      <c r="P50" s="36"/>
      <c r="Q50" s="50">
        <f t="shared" si="25"/>
        <v>0</v>
      </c>
      <c r="R50" s="37"/>
      <c r="S50" s="38"/>
      <c r="T50" s="38"/>
      <c r="U50" s="38"/>
      <c r="V50" s="38"/>
      <c r="W50" s="55">
        <f t="shared" si="26"/>
        <v>0</v>
      </c>
    </row>
    <row r="51" spans="2:23" ht="13.5" thickBot="1" x14ac:dyDescent="0.25">
      <c r="B51" s="35"/>
      <c r="C51" s="50">
        <f t="shared" si="18"/>
        <v>0</v>
      </c>
      <c r="D51" s="533"/>
      <c r="E51" s="50">
        <f t="shared" si="19"/>
        <v>0</v>
      </c>
      <c r="F51" s="36"/>
      <c r="G51" s="50">
        <f t="shared" si="20"/>
        <v>0</v>
      </c>
      <c r="H51" s="36"/>
      <c r="I51" s="50">
        <f t="shared" si="21"/>
        <v>0</v>
      </c>
      <c r="J51" s="36"/>
      <c r="K51" s="50">
        <f t="shared" si="22"/>
        <v>0</v>
      </c>
      <c r="L51" s="36"/>
      <c r="M51" s="50">
        <f t="shared" si="23"/>
        <v>0</v>
      </c>
      <c r="N51" s="36"/>
      <c r="O51" s="50">
        <f t="shared" si="24"/>
        <v>0</v>
      </c>
      <c r="P51" s="36"/>
      <c r="Q51" s="50">
        <f t="shared" si="25"/>
        <v>0</v>
      </c>
      <c r="R51" s="37"/>
      <c r="S51" s="38"/>
      <c r="T51" s="38"/>
      <c r="U51" s="38"/>
      <c r="V51" s="38"/>
      <c r="W51" s="55">
        <f t="shared" si="26"/>
        <v>0</v>
      </c>
    </row>
    <row r="52" spans="2:23" ht="13.5" thickBot="1" x14ac:dyDescent="0.25">
      <c r="B52" s="35"/>
      <c r="C52" s="50">
        <f t="shared" si="18"/>
        <v>0</v>
      </c>
      <c r="D52" s="533"/>
      <c r="E52" s="50">
        <f t="shared" si="19"/>
        <v>0</v>
      </c>
      <c r="F52" s="36"/>
      <c r="G52" s="50">
        <f t="shared" si="20"/>
        <v>0</v>
      </c>
      <c r="H52" s="36"/>
      <c r="I52" s="50">
        <f t="shared" si="21"/>
        <v>0</v>
      </c>
      <c r="J52" s="36"/>
      <c r="K52" s="50">
        <f t="shared" si="22"/>
        <v>0</v>
      </c>
      <c r="L52" s="36"/>
      <c r="M52" s="50">
        <f t="shared" si="23"/>
        <v>0</v>
      </c>
      <c r="N52" s="36"/>
      <c r="O52" s="50">
        <f t="shared" si="24"/>
        <v>0</v>
      </c>
      <c r="P52" s="36"/>
      <c r="Q52" s="50">
        <f t="shared" si="25"/>
        <v>0</v>
      </c>
      <c r="R52" s="37"/>
      <c r="S52" s="38"/>
      <c r="T52" s="38"/>
      <c r="U52" s="38"/>
      <c r="V52" s="38"/>
      <c r="W52" s="55">
        <f t="shared" si="26"/>
        <v>0</v>
      </c>
    </row>
    <row r="53" spans="2:23" ht="13.5" thickBot="1" x14ac:dyDescent="0.25">
      <c r="B53" s="35"/>
      <c r="C53" s="50">
        <f t="shared" si="18"/>
        <v>0</v>
      </c>
      <c r="D53" s="533"/>
      <c r="E53" s="50">
        <f t="shared" si="19"/>
        <v>0</v>
      </c>
      <c r="F53" s="36"/>
      <c r="G53" s="50">
        <f t="shared" si="20"/>
        <v>0</v>
      </c>
      <c r="H53" s="36"/>
      <c r="I53" s="50">
        <f t="shared" si="21"/>
        <v>0</v>
      </c>
      <c r="J53" s="36"/>
      <c r="K53" s="50">
        <f t="shared" si="22"/>
        <v>0</v>
      </c>
      <c r="L53" s="36"/>
      <c r="M53" s="50">
        <f t="shared" si="23"/>
        <v>0</v>
      </c>
      <c r="N53" s="36"/>
      <c r="O53" s="50">
        <f t="shared" si="24"/>
        <v>0</v>
      </c>
      <c r="P53" s="36"/>
      <c r="Q53" s="50">
        <f t="shared" si="25"/>
        <v>0</v>
      </c>
      <c r="R53" s="37"/>
      <c r="S53" s="38"/>
      <c r="T53" s="38"/>
      <c r="U53" s="38"/>
      <c r="V53" s="38"/>
      <c r="W53" s="55">
        <f t="shared" si="26"/>
        <v>0</v>
      </c>
    </row>
    <row r="54" spans="2:23" ht="13.5" thickBot="1" x14ac:dyDescent="0.25">
      <c r="B54" s="35"/>
      <c r="C54" s="50">
        <f t="shared" si="18"/>
        <v>0</v>
      </c>
      <c r="D54" s="533"/>
      <c r="E54" s="50">
        <f t="shared" si="19"/>
        <v>0</v>
      </c>
      <c r="F54" s="36"/>
      <c r="G54" s="50">
        <f t="shared" si="20"/>
        <v>0</v>
      </c>
      <c r="H54" s="36"/>
      <c r="I54" s="50">
        <f t="shared" si="21"/>
        <v>0</v>
      </c>
      <c r="J54" s="36"/>
      <c r="K54" s="50">
        <f t="shared" si="22"/>
        <v>0</v>
      </c>
      <c r="L54" s="36"/>
      <c r="M54" s="50">
        <f t="shared" si="23"/>
        <v>0</v>
      </c>
      <c r="N54" s="36"/>
      <c r="O54" s="50">
        <f t="shared" si="24"/>
        <v>0</v>
      </c>
      <c r="P54" s="36"/>
      <c r="Q54" s="50">
        <f t="shared" si="25"/>
        <v>0</v>
      </c>
      <c r="R54" s="37"/>
      <c r="S54" s="38"/>
      <c r="T54" s="38"/>
      <c r="U54" s="38"/>
      <c r="V54" s="38"/>
      <c r="W54" s="55">
        <f t="shared" si="26"/>
        <v>0</v>
      </c>
    </row>
    <row r="55" spans="2:23" ht="13.5" thickBot="1" x14ac:dyDescent="0.25">
      <c r="B55" s="35"/>
      <c r="C55" s="50">
        <f t="shared" si="18"/>
        <v>0</v>
      </c>
      <c r="D55" s="533"/>
      <c r="E55" s="50">
        <f t="shared" si="19"/>
        <v>0</v>
      </c>
      <c r="F55" s="36"/>
      <c r="G55" s="50">
        <f t="shared" si="20"/>
        <v>0</v>
      </c>
      <c r="H55" s="36"/>
      <c r="I55" s="50">
        <f t="shared" si="21"/>
        <v>0</v>
      </c>
      <c r="J55" s="36"/>
      <c r="K55" s="50">
        <f t="shared" si="22"/>
        <v>0</v>
      </c>
      <c r="L55" s="36"/>
      <c r="M55" s="50">
        <f t="shared" si="23"/>
        <v>0</v>
      </c>
      <c r="N55" s="36"/>
      <c r="O55" s="50">
        <f t="shared" si="24"/>
        <v>0</v>
      </c>
      <c r="P55" s="36"/>
      <c r="Q55" s="50">
        <f t="shared" si="25"/>
        <v>0</v>
      </c>
      <c r="R55" s="37"/>
      <c r="S55" s="38"/>
      <c r="T55" s="38"/>
      <c r="U55" s="38"/>
      <c r="V55" s="38"/>
      <c r="W55" s="55">
        <f t="shared" si="26"/>
        <v>0</v>
      </c>
    </row>
    <row r="56" spans="2:23" ht="13.5" thickBot="1" x14ac:dyDescent="0.25">
      <c r="B56" s="35"/>
      <c r="C56" s="50">
        <f t="shared" ref="C56:C72" si="27">G56</f>
        <v>0</v>
      </c>
      <c r="D56" s="533"/>
      <c r="E56" s="50">
        <f t="shared" ref="E56:E72" si="28">I56</f>
        <v>0</v>
      </c>
      <c r="F56" s="36"/>
      <c r="G56" s="50">
        <f t="shared" ref="G56:G72" si="29">I56</f>
        <v>0</v>
      </c>
      <c r="H56" s="36"/>
      <c r="I56" s="50">
        <f t="shared" ref="I56:I72" si="30">K56</f>
        <v>0</v>
      </c>
      <c r="J56" s="36"/>
      <c r="K56" s="50">
        <f t="shared" ref="K56:K72" si="31">M56</f>
        <v>0</v>
      </c>
      <c r="L56" s="36"/>
      <c r="M56" s="50">
        <f t="shared" ref="M56:M72" si="32">O56</f>
        <v>0</v>
      </c>
      <c r="N56" s="36"/>
      <c r="O56" s="50">
        <f t="shared" ref="O56:O72" si="33">Q56</f>
        <v>0</v>
      </c>
      <c r="P56" s="36"/>
      <c r="Q56" s="50">
        <f t="shared" ref="Q56:Q72" si="34">W56</f>
        <v>0</v>
      </c>
      <c r="R56" s="37"/>
      <c r="S56" s="38"/>
      <c r="T56" s="38"/>
      <c r="U56" s="38"/>
      <c r="V56" s="38"/>
      <c r="W56" s="55">
        <f t="shared" ref="W56:W72" si="35">R56*(S56/100)*T56*U56*(V56/100)</f>
        <v>0</v>
      </c>
    </row>
    <row r="57" spans="2:23" ht="13.5" thickBot="1" x14ac:dyDescent="0.25">
      <c r="B57" s="35"/>
      <c r="C57" s="50">
        <f t="shared" si="27"/>
        <v>0</v>
      </c>
      <c r="D57" s="533"/>
      <c r="E57" s="50">
        <f t="shared" si="28"/>
        <v>0</v>
      </c>
      <c r="F57" s="36"/>
      <c r="G57" s="50">
        <f t="shared" si="29"/>
        <v>0</v>
      </c>
      <c r="H57" s="36"/>
      <c r="I57" s="50">
        <f t="shared" si="30"/>
        <v>0</v>
      </c>
      <c r="J57" s="36"/>
      <c r="K57" s="50">
        <f t="shared" si="31"/>
        <v>0</v>
      </c>
      <c r="L57" s="36"/>
      <c r="M57" s="50">
        <f t="shared" si="32"/>
        <v>0</v>
      </c>
      <c r="N57" s="36"/>
      <c r="O57" s="50">
        <f t="shared" si="33"/>
        <v>0</v>
      </c>
      <c r="P57" s="36"/>
      <c r="Q57" s="50">
        <f t="shared" si="34"/>
        <v>0</v>
      </c>
      <c r="R57" s="37"/>
      <c r="S57" s="38"/>
      <c r="T57" s="38"/>
      <c r="U57" s="38"/>
      <c r="V57" s="38"/>
      <c r="W57" s="55">
        <f t="shared" si="35"/>
        <v>0</v>
      </c>
    </row>
    <row r="58" spans="2:23" ht="13.5" thickBot="1" x14ac:dyDescent="0.25">
      <c r="B58" s="35"/>
      <c r="C58" s="50">
        <f t="shared" si="27"/>
        <v>0</v>
      </c>
      <c r="D58" s="533"/>
      <c r="E58" s="50">
        <f t="shared" si="28"/>
        <v>0</v>
      </c>
      <c r="F58" s="36"/>
      <c r="G58" s="50">
        <f t="shared" si="29"/>
        <v>0</v>
      </c>
      <c r="H58" s="36"/>
      <c r="I58" s="50">
        <f t="shared" si="30"/>
        <v>0</v>
      </c>
      <c r="J58" s="36"/>
      <c r="K58" s="50">
        <f t="shared" si="31"/>
        <v>0</v>
      </c>
      <c r="L58" s="36"/>
      <c r="M58" s="50">
        <f t="shared" si="32"/>
        <v>0</v>
      </c>
      <c r="N58" s="36"/>
      <c r="O58" s="50">
        <f t="shared" si="33"/>
        <v>0</v>
      </c>
      <c r="P58" s="36"/>
      <c r="Q58" s="50">
        <f t="shared" si="34"/>
        <v>0</v>
      </c>
      <c r="R58" s="37"/>
      <c r="S58" s="38"/>
      <c r="T58" s="38"/>
      <c r="U58" s="38"/>
      <c r="V58" s="38"/>
      <c r="W58" s="55">
        <f t="shared" si="35"/>
        <v>0</v>
      </c>
    </row>
    <row r="59" spans="2:23" ht="13.5" thickBot="1" x14ac:dyDescent="0.25">
      <c r="B59" s="35"/>
      <c r="C59" s="50">
        <f t="shared" si="27"/>
        <v>0</v>
      </c>
      <c r="D59" s="533"/>
      <c r="E59" s="50">
        <f t="shared" si="28"/>
        <v>0</v>
      </c>
      <c r="F59" s="36"/>
      <c r="G59" s="50">
        <f t="shared" si="29"/>
        <v>0</v>
      </c>
      <c r="H59" s="36"/>
      <c r="I59" s="50">
        <f t="shared" si="30"/>
        <v>0</v>
      </c>
      <c r="J59" s="36"/>
      <c r="K59" s="50">
        <f t="shared" si="31"/>
        <v>0</v>
      </c>
      <c r="L59" s="36"/>
      <c r="M59" s="50">
        <f t="shared" si="32"/>
        <v>0</v>
      </c>
      <c r="N59" s="36"/>
      <c r="O59" s="50">
        <f t="shared" si="33"/>
        <v>0</v>
      </c>
      <c r="P59" s="36"/>
      <c r="Q59" s="50">
        <f t="shared" si="34"/>
        <v>0</v>
      </c>
      <c r="R59" s="37"/>
      <c r="S59" s="38"/>
      <c r="T59" s="38"/>
      <c r="U59" s="38"/>
      <c r="V59" s="38"/>
      <c r="W59" s="55">
        <f t="shared" si="35"/>
        <v>0</v>
      </c>
    </row>
    <row r="60" spans="2:23" ht="13.5" thickBot="1" x14ac:dyDescent="0.25">
      <c r="B60" s="35"/>
      <c r="C60" s="50">
        <f t="shared" si="27"/>
        <v>0</v>
      </c>
      <c r="D60" s="533"/>
      <c r="E60" s="50">
        <f t="shared" si="28"/>
        <v>0</v>
      </c>
      <c r="F60" s="36"/>
      <c r="G60" s="50">
        <f t="shared" si="29"/>
        <v>0</v>
      </c>
      <c r="H60" s="36"/>
      <c r="I60" s="50">
        <f t="shared" si="30"/>
        <v>0</v>
      </c>
      <c r="J60" s="36"/>
      <c r="K60" s="50">
        <f t="shared" si="31"/>
        <v>0</v>
      </c>
      <c r="L60" s="36"/>
      <c r="M60" s="50">
        <f t="shared" si="32"/>
        <v>0</v>
      </c>
      <c r="N60" s="36"/>
      <c r="O60" s="50">
        <f t="shared" si="33"/>
        <v>0</v>
      </c>
      <c r="P60" s="36"/>
      <c r="Q60" s="50">
        <f t="shared" si="34"/>
        <v>0</v>
      </c>
      <c r="R60" s="37"/>
      <c r="S60" s="38"/>
      <c r="T60" s="38"/>
      <c r="U60" s="38"/>
      <c r="V60" s="38"/>
      <c r="W60" s="55">
        <f t="shared" si="35"/>
        <v>0</v>
      </c>
    </row>
    <row r="61" spans="2:23" ht="13.5" thickBot="1" x14ac:dyDescent="0.25">
      <c r="B61" s="35"/>
      <c r="C61" s="50">
        <f t="shared" si="27"/>
        <v>0</v>
      </c>
      <c r="D61" s="533"/>
      <c r="E61" s="50">
        <f t="shared" si="28"/>
        <v>0</v>
      </c>
      <c r="F61" s="36"/>
      <c r="G61" s="50">
        <f t="shared" si="29"/>
        <v>0</v>
      </c>
      <c r="H61" s="36"/>
      <c r="I61" s="50">
        <f t="shared" si="30"/>
        <v>0</v>
      </c>
      <c r="J61" s="36"/>
      <c r="K61" s="50">
        <f t="shared" si="31"/>
        <v>0</v>
      </c>
      <c r="L61" s="36"/>
      <c r="M61" s="50">
        <f t="shared" si="32"/>
        <v>0</v>
      </c>
      <c r="N61" s="36"/>
      <c r="O61" s="50">
        <f t="shared" si="33"/>
        <v>0</v>
      </c>
      <c r="P61" s="36"/>
      <c r="Q61" s="50">
        <f t="shared" si="34"/>
        <v>0</v>
      </c>
      <c r="R61" s="37"/>
      <c r="S61" s="38"/>
      <c r="T61" s="38"/>
      <c r="U61" s="38"/>
      <c r="V61" s="38"/>
      <c r="W61" s="55">
        <f t="shared" si="35"/>
        <v>0</v>
      </c>
    </row>
    <row r="62" spans="2:23" ht="13.5" thickBot="1" x14ac:dyDescent="0.25">
      <c r="B62" s="35"/>
      <c r="C62" s="50">
        <f t="shared" si="27"/>
        <v>0</v>
      </c>
      <c r="D62" s="533"/>
      <c r="E62" s="50">
        <f t="shared" si="28"/>
        <v>0</v>
      </c>
      <c r="F62" s="36"/>
      <c r="G62" s="50">
        <f t="shared" si="29"/>
        <v>0</v>
      </c>
      <c r="H62" s="36"/>
      <c r="I62" s="50">
        <f t="shared" si="30"/>
        <v>0</v>
      </c>
      <c r="J62" s="36"/>
      <c r="K62" s="50">
        <f t="shared" si="31"/>
        <v>0</v>
      </c>
      <c r="L62" s="36"/>
      <c r="M62" s="50">
        <f t="shared" si="32"/>
        <v>0</v>
      </c>
      <c r="N62" s="36"/>
      <c r="O62" s="50">
        <f t="shared" si="33"/>
        <v>0</v>
      </c>
      <c r="P62" s="36"/>
      <c r="Q62" s="50">
        <f t="shared" si="34"/>
        <v>0</v>
      </c>
      <c r="R62" s="37"/>
      <c r="S62" s="38"/>
      <c r="T62" s="38"/>
      <c r="U62" s="38"/>
      <c r="V62" s="38"/>
      <c r="W62" s="55">
        <f t="shared" si="35"/>
        <v>0</v>
      </c>
    </row>
    <row r="63" spans="2:23" ht="13.5" thickBot="1" x14ac:dyDescent="0.25">
      <c r="B63" s="35"/>
      <c r="C63" s="50">
        <f t="shared" si="27"/>
        <v>0</v>
      </c>
      <c r="D63" s="533"/>
      <c r="E63" s="50">
        <f t="shared" si="28"/>
        <v>0</v>
      </c>
      <c r="F63" s="36"/>
      <c r="G63" s="50">
        <f t="shared" si="29"/>
        <v>0</v>
      </c>
      <c r="H63" s="36"/>
      <c r="I63" s="50">
        <f t="shared" si="30"/>
        <v>0</v>
      </c>
      <c r="J63" s="36"/>
      <c r="K63" s="50">
        <f t="shared" si="31"/>
        <v>0</v>
      </c>
      <c r="L63" s="36"/>
      <c r="M63" s="50">
        <f t="shared" si="32"/>
        <v>0</v>
      </c>
      <c r="N63" s="36"/>
      <c r="O63" s="50">
        <f t="shared" si="33"/>
        <v>0</v>
      </c>
      <c r="P63" s="36"/>
      <c r="Q63" s="50">
        <f t="shared" si="34"/>
        <v>0</v>
      </c>
      <c r="R63" s="37"/>
      <c r="S63" s="38"/>
      <c r="T63" s="38"/>
      <c r="U63" s="38"/>
      <c r="V63" s="38"/>
      <c r="W63" s="55">
        <f t="shared" si="35"/>
        <v>0</v>
      </c>
    </row>
    <row r="64" spans="2:23" ht="13.5" thickBot="1" x14ac:dyDescent="0.25">
      <c r="B64" s="35"/>
      <c r="C64" s="50">
        <f t="shared" si="27"/>
        <v>0</v>
      </c>
      <c r="D64" s="533"/>
      <c r="E64" s="50">
        <f t="shared" si="28"/>
        <v>0</v>
      </c>
      <c r="F64" s="36"/>
      <c r="G64" s="50">
        <f t="shared" si="29"/>
        <v>0</v>
      </c>
      <c r="H64" s="36"/>
      <c r="I64" s="50">
        <f t="shared" si="30"/>
        <v>0</v>
      </c>
      <c r="J64" s="36"/>
      <c r="K64" s="50">
        <f t="shared" si="31"/>
        <v>0</v>
      </c>
      <c r="L64" s="36"/>
      <c r="M64" s="50">
        <f t="shared" si="32"/>
        <v>0</v>
      </c>
      <c r="N64" s="36"/>
      <c r="O64" s="50">
        <f t="shared" si="33"/>
        <v>0</v>
      </c>
      <c r="P64" s="36"/>
      <c r="Q64" s="50">
        <f t="shared" si="34"/>
        <v>0</v>
      </c>
      <c r="R64" s="37"/>
      <c r="S64" s="38"/>
      <c r="T64" s="38"/>
      <c r="U64" s="38"/>
      <c r="V64" s="38"/>
      <c r="W64" s="55">
        <f t="shared" si="35"/>
        <v>0</v>
      </c>
    </row>
    <row r="65" spans="2:23" ht="13.5" thickBot="1" x14ac:dyDescent="0.25">
      <c r="B65" s="35"/>
      <c r="C65" s="50">
        <f t="shared" si="27"/>
        <v>0</v>
      </c>
      <c r="D65" s="533"/>
      <c r="E65" s="50">
        <f t="shared" si="28"/>
        <v>0</v>
      </c>
      <c r="F65" s="36"/>
      <c r="G65" s="50">
        <f t="shared" si="29"/>
        <v>0</v>
      </c>
      <c r="H65" s="36"/>
      <c r="I65" s="50">
        <f t="shared" si="30"/>
        <v>0</v>
      </c>
      <c r="J65" s="36"/>
      <c r="K65" s="50">
        <f t="shared" si="31"/>
        <v>0</v>
      </c>
      <c r="L65" s="36"/>
      <c r="M65" s="50">
        <f t="shared" si="32"/>
        <v>0</v>
      </c>
      <c r="N65" s="36"/>
      <c r="O65" s="50">
        <f t="shared" si="33"/>
        <v>0</v>
      </c>
      <c r="P65" s="36"/>
      <c r="Q65" s="50">
        <f t="shared" si="34"/>
        <v>0</v>
      </c>
      <c r="R65" s="37"/>
      <c r="S65" s="38"/>
      <c r="T65" s="38"/>
      <c r="U65" s="38"/>
      <c r="V65" s="38"/>
      <c r="W65" s="55">
        <f t="shared" si="35"/>
        <v>0</v>
      </c>
    </row>
    <row r="66" spans="2:23" ht="13.5" thickBot="1" x14ac:dyDescent="0.25">
      <c r="B66" s="35"/>
      <c r="C66" s="50">
        <f t="shared" si="27"/>
        <v>0</v>
      </c>
      <c r="D66" s="533"/>
      <c r="E66" s="50">
        <f t="shared" si="28"/>
        <v>0</v>
      </c>
      <c r="F66" s="36"/>
      <c r="G66" s="50">
        <f t="shared" si="29"/>
        <v>0</v>
      </c>
      <c r="H66" s="36"/>
      <c r="I66" s="50">
        <f t="shared" si="30"/>
        <v>0</v>
      </c>
      <c r="J66" s="36"/>
      <c r="K66" s="50">
        <f t="shared" si="31"/>
        <v>0</v>
      </c>
      <c r="L66" s="36"/>
      <c r="M66" s="50">
        <f t="shared" si="32"/>
        <v>0</v>
      </c>
      <c r="N66" s="36"/>
      <c r="O66" s="50">
        <f t="shared" si="33"/>
        <v>0</v>
      </c>
      <c r="P66" s="36"/>
      <c r="Q66" s="50">
        <f t="shared" si="34"/>
        <v>0</v>
      </c>
      <c r="R66" s="37"/>
      <c r="S66" s="38"/>
      <c r="T66" s="38"/>
      <c r="U66" s="38"/>
      <c r="V66" s="38"/>
      <c r="W66" s="55">
        <f t="shared" si="35"/>
        <v>0</v>
      </c>
    </row>
    <row r="67" spans="2:23" ht="13.5" thickBot="1" x14ac:dyDescent="0.25">
      <c r="B67" s="35"/>
      <c r="C67" s="50">
        <f t="shared" si="27"/>
        <v>0</v>
      </c>
      <c r="D67" s="533"/>
      <c r="E67" s="50">
        <f t="shared" si="28"/>
        <v>0</v>
      </c>
      <c r="F67" s="36"/>
      <c r="G67" s="50">
        <f t="shared" si="29"/>
        <v>0</v>
      </c>
      <c r="H67" s="36"/>
      <c r="I67" s="50">
        <f t="shared" si="30"/>
        <v>0</v>
      </c>
      <c r="J67" s="36"/>
      <c r="K67" s="50">
        <f t="shared" si="31"/>
        <v>0</v>
      </c>
      <c r="L67" s="36"/>
      <c r="M67" s="50">
        <f t="shared" si="32"/>
        <v>0</v>
      </c>
      <c r="N67" s="36"/>
      <c r="O67" s="50">
        <f t="shared" si="33"/>
        <v>0</v>
      </c>
      <c r="P67" s="36"/>
      <c r="Q67" s="50">
        <f t="shared" si="34"/>
        <v>0</v>
      </c>
      <c r="R67" s="37"/>
      <c r="S67" s="38"/>
      <c r="T67" s="38"/>
      <c r="U67" s="38"/>
      <c r="V67" s="38"/>
      <c r="W67" s="55">
        <f t="shared" si="35"/>
        <v>0</v>
      </c>
    </row>
    <row r="68" spans="2:23" ht="13.5" thickBot="1" x14ac:dyDescent="0.25">
      <c r="B68" s="35"/>
      <c r="C68" s="50">
        <f t="shared" si="27"/>
        <v>0</v>
      </c>
      <c r="D68" s="533"/>
      <c r="E68" s="50">
        <f t="shared" si="28"/>
        <v>0</v>
      </c>
      <c r="F68" s="36"/>
      <c r="G68" s="50">
        <f t="shared" si="29"/>
        <v>0</v>
      </c>
      <c r="H68" s="36"/>
      <c r="I68" s="50">
        <f t="shared" si="30"/>
        <v>0</v>
      </c>
      <c r="J68" s="36"/>
      <c r="K68" s="50">
        <f t="shared" si="31"/>
        <v>0</v>
      </c>
      <c r="L68" s="36"/>
      <c r="M68" s="50">
        <f t="shared" si="32"/>
        <v>0</v>
      </c>
      <c r="N68" s="36"/>
      <c r="O68" s="50">
        <f t="shared" si="33"/>
        <v>0</v>
      </c>
      <c r="P68" s="36"/>
      <c r="Q68" s="50">
        <f t="shared" si="34"/>
        <v>0</v>
      </c>
      <c r="R68" s="37"/>
      <c r="S68" s="38"/>
      <c r="T68" s="38"/>
      <c r="U68" s="38"/>
      <c r="V68" s="38"/>
      <c r="W68" s="55">
        <f t="shared" si="35"/>
        <v>0</v>
      </c>
    </row>
    <row r="69" spans="2:23" ht="13.5" thickBot="1" x14ac:dyDescent="0.25">
      <c r="B69" s="35"/>
      <c r="C69" s="50">
        <f t="shared" si="27"/>
        <v>0</v>
      </c>
      <c r="D69" s="533"/>
      <c r="E69" s="50">
        <f t="shared" si="28"/>
        <v>0</v>
      </c>
      <c r="F69" s="36"/>
      <c r="G69" s="50">
        <f t="shared" si="29"/>
        <v>0</v>
      </c>
      <c r="H69" s="36"/>
      <c r="I69" s="50">
        <f t="shared" si="30"/>
        <v>0</v>
      </c>
      <c r="J69" s="36"/>
      <c r="K69" s="50">
        <f t="shared" si="31"/>
        <v>0</v>
      </c>
      <c r="L69" s="36"/>
      <c r="M69" s="50">
        <f t="shared" si="32"/>
        <v>0</v>
      </c>
      <c r="N69" s="36"/>
      <c r="O69" s="50">
        <f t="shared" si="33"/>
        <v>0</v>
      </c>
      <c r="P69" s="36"/>
      <c r="Q69" s="50">
        <f t="shared" si="34"/>
        <v>0</v>
      </c>
      <c r="R69" s="37"/>
      <c r="S69" s="38"/>
      <c r="T69" s="38"/>
      <c r="U69" s="38"/>
      <c r="V69" s="38"/>
      <c r="W69" s="55">
        <f t="shared" si="35"/>
        <v>0</v>
      </c>
    </row>
    <row r="70" spans="2:23" ht="13.5" thickBot="1" x14ac:dyDescent="0.25">
      <c r="B70" s="35"/>
      <c r="C70" s="50">
        <f t="shared" si="27"/>
        <v>0</v>
      </c>
      <c r="D70" s="533"/>
      <c r="E70" s="50">
        <f t="shared" si="28"/>
        <v>0</v>
      </c>
      <c r="F70" s="36"/>
      <c r="G70" s="50">
        <f t="shared" si="29"/>
        <v>0</v>
      </c>
      <c r="H70" s="36"/>
      <c r="I70" s="50">
        <f t="shared" si="30"/>
        <v>0</v>
      </c>
      <c r="J70" s="36"/>
      <c r="K70" s="50">
        <f t="shared" si="31"/>
        <v>0</v>
      </c>
      <c r="L70" s="36"/>
      <c r="M70" s="50">
        <f t="shared" si="32"/>
        <v>0</v>
      </c>
      <c r="N70" s="36"/>
      <c r="O70" s="50">
        <f t="shared" si="33"/>
        <v>0</v>
      </c>
      <c r="P70" s="36"/>
      <c r="Q70" s="50">
        <f t="shared" si="34"/>
        <v>0</v>
      </c>
      <c r="R70" s="37"/>
      <c r="S70" s="38"/>
      <c r="T70" s="38"/>
      <c r="U70" s="38"/>
      <c r="V70" s="38"/>
      <c r="W70" s="55">
        <f t="shared" si="35"/>
        <v>0</v>
      </c>
    </row>
    <row r="71" spans="2:23" ht="13.5" thickBot="1" x14ac:dyDescent="0.25">
      <c r="B71" s="35"/>
      <c r="C71" s="50">
        <f t="shared" si="27"/>
        <v>0</v>
      </c>
      <c r="D71" s="533"/>
      <c r="E71" s="50">
        <f t="shared" si="28"/>
        <v>0</v>
      </c>
      <c r="F71" s="36"/>
      <c r="G71" s="50">
        <f t="shared" si="29"/>
        <v>0</v>
      </c>
      <c r="H71" s="36"/>
      <c r="I71" s="50">
        <f t="shared" si="30"/>
        <v>0</v>
      </c>
      <c r="J71" s="36"/>
      <c r="K71" s="50">
        <f t="shared" si="31"/>
        <v>0</v>
      </c>
      <c r="L71" s="36"/>
      <c r="M71" s="50">
        <f t="shared" si="32"/>
        <v>0</v>
      </c>
      <c r="N71" s="36"/>
      <c r="O71" s="50">
        <f t="shared" si="33"/>
        <v>0</v>
      </c>
      <c r="P71" s="36"/>
      <c r="Q71" s="50">
        <f t="shared" si="34"/>
        <v>0</v>
      </c>
      <c r="R71" s="37"/>
      <c r="S71" s="38"/>
      <c r="T71" s="38"/>
      <c r="U71" s="38"/>
      <c r="V71" s="38"/>
      <c r="W71" s="55">
        <f t="shared" si="35"/>
        <v>0</v>
      </c>
    </row>
    <row r="72" spans="2:23" ht="13.5" thickBot="1" x14ac:dyDescent="0.25">
      <c r="B72" s="35"/>
      <c r="C72" s="50">
        <f t="shared" si="27"/>
        <v>0</v>
      </c>
      <c r="D72" s="533"/>
      <c r="E72" s="50">
        <f t="shared" si="28"/>
        <v>0</v>
      </c>
      <c r="F72" s="36"/>
      <c r="G72" s="50">
        <f t="shared" si="29"/>
        <v>0</v>
      </c>
      <c r="H72" s="36"/>
      <c r="I72" s="50">
        <f t="shared" si="30"/>
        <v>0</v>
      </c>
      <c r="J72" s="36"/>
      <c r="K72" s="50">
        <f t="shared" si="31"/>
        <v>0</v>
      </c>
      <c r="L72" s="36"/>
      <c r="M72" s="50">
        <f t="shared" si="32"/>
        <v>0</v>
      </c>
      <c r="N72" s="36"/>
      <c r="O72" s="50">
        <f t="shared" si="33"/>
        <v>0</v>
      </c>
      <c r="P72" s="36"/>
      <c r="Q72" s="50">
        <f t="shared" si="34"/>
        <v>0</v>
      </c>
      <c r="R72" s="37"/>
      <c r="S72" s="38"/>
      <c r="T72" s="38"/>
      <c r="U72" s="38"/>
      <c r="V72" s="38"/>
      <c r="W72" s="55">
        <f t="shared" si="35"/>
        <v>0</v>
      </c>
    </row>
    <row r="73" spans="2:23" ht="13.5" thickBot="1" x14ac:dyDescent="0.25">
      <c r="B73" s="35"/>
      <c r="C73" s="50">
        <f t="shared" ref="C73:C83" si="36">G73</f>
        <v>0</v>
      </c>
      <c r="D73" s="533"/>
      <c r="E73" s="50">
        <f t="shared" ref="E73:E83" si="37">I73</f>
        <v>0</v>
      </c>
      <c r="F73" s="36"/>
      <c r="G73" s="50">
        <f t="shared" ref="G73:G83" si="38">I73</f>
        <v>0</v>
      </c>
      <c r="H73" s="36"/>
      <c r="I73" s="50">
        <f t="shared" ref="I73:I83" si="39">K73</f>
        <v>0</v>
      </c>
      <c r="J73" s="36"/>
      <c r="K73" s="50">
        <f t="shared" ref="K73:K83" si="40">M73</f>
        <v>0</v>
      </c>
      <c r="L73" s="36"/>
      <c r="M73" s="50">
        <f t="shared" ref="M73:M83" si="41">O73</f>
        <v>0</v>
      </c>
      <c r="N73" s="36"/>
      <c r="O73" s="50">
        <f t="shared" ref="O73:O83" si="42">Q73</f>
        <v>0</v>
      </c>
      <c r="P73" s="36"/>
      <c r="Q73" s="50">
        <f t="shared" ref="Q73:Q83" si="43">W73</f>
        <v>0</v>
      </c>
      <c r="R73" s="37"/>
      <c r="S73" s="38"/>
      <c r="T73" s="38"/>
      <c r="U73" s="38"/>
      <c r="V73" s="38"/>
      <c r="W73" s="55">
        <f t="shared" ref="W73:W83" si="44">R73*(S73/100)*T73*U73*(V73/100)</f>
        <v>0</v>
      </c>
    </row>
    <row r="74" spans="2:23" ht="13.5" thickBot="1" x14ac:dyDescent="0.25">
      <c r="B74" s="35"/>
      <c r="C74" s="50">
        <f t="shared" si="36"/>
        <v>0</v>
      </c>
      <c r="D74" s="533"/>
      <c r="E74" s="50">
        <f t="shared" si="37"/>
        <v>0</v>
      </c>
      <c r="F74" s="36"/>
      <c r="G74" s="50">
        <f t="shared" si="38"/>
        <v>0</v>
      </c>
      <c r="H74" s="36"/>
      <c r="I74" s="50">
        <f t="shared" si="39"/>
        <v>0</v>
      </c>
      <c r="J74" s="36"/>
      <c r="K74" s="50">
        <f t="shared" si="40"/>
        <v>0</v>
      </c>
      <c r="L74" s="36"/>
      <c r="M74" s="50">
        <f t="shared" si="41"/>
        <v>0</v>
      </c>
      <c r="N74" s="36"/>
      <c r="O74" s="50">
        <f t="shared" si="42"/>
        <v>0</v>
      </c>
      <c r="P74" s="36"/>
      <c r="Q74" s="50">
        <f t="shared" si="43"/>
        <v>0</v>
      </c>
      <c r="R74" s="37"/>
      <c r="S74" s="38"/>
      <c r="T74" s="38"/>
      <c r="U74" s="38"/>
      <c r="V74" s="38"/>
      <c r="W74" s="55">
        <f t="shared" si="44"/>
        <v>0</v>
      </c>
    </row>
    <row r="75" spans="2:23" ht="13.5" thickBot="1" x14ac:dyDescent="0.25">
      <c r="B75" s="35"/>
      <c r="C75" s="50">
        <f t="shared" si="36"/>
        <v>0</v>
      </c>
      <c r="D75" s="533"/>
      <c r="E75" s="50">
        <f t="shared" si="37"/>
        <v>0</v>
      </c>
      <c r="F75" s="36"/>
      <c r="G75" s="50">
        <f t="shared" si="38"/>
        <v>0</v>
      </c>
      <c r="H75" s="36"/>
      <c r="I75" s="50">
        <f t="shared" si="39"/>
        <v>0</v>
      </c>
      <c r="J75" s="36"/>
      <c r="K75" s="50">
        <f t="shared" si="40"/>
        <v>0</v>
      </c>
      <c r="L75" s="36"/>
      <c r="M75" s="50">
        <f t="shared" si="41"/>
        <v>0</v>
      </c>
      <c r="N75" s="36"/>
      <c r="O75" s="50">
        <f t="shared" si="42"/>
        <v>0</v>
      </c>
      <c r="P75" s="36"/>
      <c r="Q75" s="50">
        <f t="shared" si="43"/>
        <v>0</v>
      </c>
      <c r="R75" s="37"/>
      <c r="S75" s="38"/>
      <c r="T75" s="38"/>
      <c r="U75" s="38"/>
      <c r="V75" s="38"/>
      <c r="W75" s="55">
        <f t="shared" si="44"/>
        <v>0</v>
      </c>
    </row>
    <row r="76" spans="2:23" ht="13.5" thickBot="1" x14ac:dyDescent="0.25">
      <c r="B76" s="35"/>
      <c r="C76" s="50">
        <f t="shared" si="36"/>
        <v>0</v>
      </c>
      <c r="D76" s="533"/>
      <c r="E76" s="50">
        <f t="shared" si="37"/>
        <v>0</v>
      </c>
      <c r="F76" s="36"/>
      <c r="G76" s="50">
        <f t="shared" si="38"/>
        <v>0</v>
      </c>
      <c r="H76" s="36"/>
      <c r="I76" s="50">
        <f t="shared" si="39"/>
        <v>0</v>
      </c>
      <c r="J76" s="36"/>
      <c r="K76" s="50">
        <f t="shared" si="40"/>
        <v>0</v>
      </c>
      <c r="L76" s="36"/>
      <c r="M76" s="50">
        <f t="shared" si="41"/>
        <v>0</v>
      </c>
      <c r="N76" s="36"/>
      <c r="O76" s="50">
        <f t="shared" si="42"/>
        <v>0</v>
      </c>
      <c r="P76" s="36"/>
      <c r="Q76" s="50">
        <f t="shared" si="43"/>
        <v>0</v>
      </c>
      <c r="R76" s="37"/>
      <c r="S76" s="38"/>
      <c r="T76" s="38"/>
      <c r="U76" s="38"/>
      <c r="V76" s="38"/>
      <c r="W76" s="55">
        <f t="shared" si="44"/>
        <v>0</v>
      </c>
    </row>
    <row r="77" spans="2:23" ht="13.5" thickBot="1" x14ac:dyDescent="0.25">
      <c r="B77" s="35"/>
      <c r="C77" s="50">
        <f t="shared" si="36"/>
        <v>0</v>
      </c>
      <c r="D77" s="533"/>
      <c r="E77" s="50">
        <f t="shared" si="37"/>
        <v>0</v>
      </c>
      <c r="F77" s="36"/>
      <c r="G77" s="50">
        <f t="shared" si="38"/>
        <v>0</v>
      </c>
      <c r="H77" s="36"/>
      <c r="I77" s="50">
        <f t="shared" si="39"/>
        <v>0</v>
      </c>
      <c r="J77" s="36"/>
      <c r="K77" s="50">
        <f t="shared" si="40"/>
        <v>0</v>
      </c>
      <c r="L77" s="36"/>
      <c r="M77" s="50">
        <f t="shared" si="41"/>
        <v>0</v>
      </c>
      <c r="N77" s="36"/>
      <c r="O77" s="50">
        <f t="shared" si="42"/>
        <v>0</v>
      </c>
      <c r="P77" s="36"/>
      <c r="Q77" s="50">
        <f t="shared" si="43"/>
        <v>0</v>
      </c>
      <c r="R77" s="37"/>
      <c r="S77" s="38"/>
      <c r="T77" s="38"/>
      <c r="U77" s="38"/>
      <c r="V77" s="38"/>
      <c r="W77" s="55">
        <f t="shared" si="44"/>
        <v>0</v>
      </c>
    </row>
    <row r="78" spans="2:23" ht="13.5" thickBot="1" x14ac:dyDescent="0.25">
      <c r="B78" s="35"/>
      <c r="C78" s="50">
        <f t="shared" si="36"/>
        <v>0</v>
      </c>
      <c r="D78" s="533"/>
      <c r="E78" s="50">
        <f t="shared" si="37"/>
        <v>0</v>
      </c>
      <c r="F78" s="36"/>
      <c r="G78" s="50">
        <f t="shared" si="38"/>
        <v>0</v>
      </c>
      <c r="H78" s="36"/>
      <c r="I78" s="50">
        <f t="shared" si="39"/>
        <v>0</v>
      </c>
      <c r="J78" s="36"/>
      <c r="K78" s="50">
        <f t="shared" si="40"/>
        <v>0</v>
      </c>
      <c r="L78" s="36"/>
      <c r="M78" s="50">
        <f t="shared" si="41"/>
        <v>0</v>
      </c>
      <c r="N78" s="36"/>
      <c r="O78" s="50">
        <f t="shared" si="42"/>
        <v>0</v>
      </c>
      <c r="P78" s="36"/>
      <c r="Q78" s="50">
        <f t="shared" si="43"/>
        <v>0</v>
      </c>
      <c r="R78" s="37"/>
      <c r="S78" s="38"/>
      <c r="T78" s="38"/>
      <c r="U78" s="38"/>
      <c r="V78" s="38"/>
      <c r="W78" s="55">
        <f t="shared" si="44"/>
        <v>0</v>
      </c>
    </row>
    <row r="79" spans="2:23" ht="13.5" thickBot="1" x14ac:dyDescent="0.25">
      <c r="B79" s="35"/>
      <c r="C79" s="50">
        <f t="shared" si="36"/>
        <v>0</v>
      </c>
      <c r="D79" s="533"/>
      <c r="E79" s="50">
        <f t="shared" si="37"/>
        <v>0</v>
      </c>
      <c r="F79" s="36"/>
      <c r="G79" s="50">
        <f t="shared" si="38"/>
        <v>0</v>
      </c>
      <c r="H79" s="36"/>
      <c r="I79" s="50">
        <f t="shared" si="39"/>
        <v>0</v>
      </c>
      <c r="J79" s="36"/>
      <c r="K79" s="50">
        <f t="shared" si="40"/>
        <v>0</v>
      </c>
      <c r="L79" s="36"/>
      <c r="M79" s="50">
        <f t="shared" si="41"/>
        <v>0</v>
      </c>
      <c r="N79" s="36"/>
      <c r="O79" s="50">
        <f t="shared" si="42"/>
        <v>0</v>
      </c>
      <c r="P79" s="36"/>
      <c r="Q79" s="50">
        <f t="shared" si="43"/>
        <v>0</v>
      </c>
      <c r="R79" s="37"/>
      <c r="S79" s="38"/>
      <c r="T79" s="38"/>
      <c r="U79" s="38"/>
      <c r="V79" s="38"/>
      <c r="W79" s="55">
        <f t="shared" si="44"/>
        <v>0</v>
      </c>
    </row>
    <row r="80" spans="2:23" ht="13.5" thickBot="1" x14ac:dyDescent="0.25">
      <c r="B80" s="35"/>
      <c r="C80" s="50">
        <f t="shared" si="36"/>
        <v>0</v>
      </c>
      <c r="D80" s="533"/>
      <c r="E80" s="50">
        <f t="shared" si="37"/>
        <v>0</v>
      </c>
      <c r="F80" s="36"/>
      <c r="G80" s="50">
        <f t="shared" si="38"/>
        <v>0</v>
      </c>
      <c r="H80" s="36"/>
      <c r="I80" s="50">
        <f t="shared" si="39"/>
        <v>0</v>
      </c>
      <c r="J80" s="36"/>
      <c r="K80" s="50">
        <f t="shared" si="40"/>
        <v>0</v>
      </c>
      <c r="L80" s="36"/>
      <c r="M80" s="50">
        <f t="shared" si="41"/>
        <v>0</v>
      </c>
      <c r="N80" s="36"/>
      <c r="O80" s="50">
        <f t="shared" si="42"/>
        <v>0</v>
      </c>
      <c r="P80" s="36"/>
      <c r="Q80" s="50">
        <f t="shared" si="43"/>
        <v>0</v>
      </c>
      <c r="R80" s="37"/>
      <c r="S80" s="38"/>
      <c r="T80" s="38"/>
      <c r="U80" s="38"/>
      <c r="V80" s="38"/>
      <c r="W80" s="55">
        <f t="shared" si="44"/>
        <v>0</v>
      </c>
    </row>
    <row r="81" spans="2:23" ht="13.5" thickBot="1" x14ac:dyDescent="0.25">
      <c r="B81" s="35"/>
      <c r="C81" s="50">
        <f t="shared" si="36"/>
        <v>0</v>
      </c>
      <c r="D81" s="533"/>
      <c r="E81" s="50">
        <f t="shared" si="37"/>
        <v>0</v>
      </c>
      <c r="F81" s="36"/>
      <c r="G81" s="50">
        <f t="shared" si="38"/>
        <v>0</v>
      </c>
      <c r="H81" s="36"/>
      <c r="I81" s="50">
        <f t="shared" si="39"/>
        <v>0</v>
      </c>
      <c r="J81" s="36"/>
      <c r="K81" s="50">
        <f t="shared" si="40"/>
        <v>0</v>
      </c>
      <c r="L81" s="36"/>
      <c r="M81" s="50">
        <f t="shared" si="41"/>
        <v>0</v>
      </c>
      <c r="N81" s="36"/>
      <c r="O81" s="50">
        <f t="shared" si="42"/>
        <v>0</v>
      </c>
      <c r="P81" s="36"/>
      <c r="Q81" s="50">
        <f t="shared" si="43"/>
        <v>0</v>
      </c>
      <c r="R81" s="37"/>
      <c r="S81" s="38"/>
      <c r="T81" s="38"/>
      <c r="U81" s="38"/>
      <c r="V81" s="38"/>
      <c r="W81" s="55">
        <f t="shared" si="44"/>
        <v>0</v>
      </c>
    </row>
    <row r="82" spans="2:23" ht="13.5" thickBot="1" x14ac:dyDescent="0.25">
      <c r="B82" s="35"/>
      <c r="C82" s="50">
        <f t="shared" si="36"/>
        <v>0</v>
      </c>
      <c r="D82" s="533"/>
      <c r="E82" s="50">
        <f t="shared" si="37"/>
        <v>0</v>
      </c>
      <c r="F82" s="36"/>
      <c r="G82" s="50">
        <f t="shared" si="38"/>
        <v>0</v>
      </c>
      <c r="H82" s="36"/>
      <c r="I82" s="50">
        <f t="shared" si="39"/>
        <v>0</v>
      </c>
      <c r="J82" s="36"/>
      <c r="K82" s="50">
        <f t="shared" si="40"/>
        <v>0</v>
      </c>
      <c r="L82" s="36"/>
      <c r="M82" s="50">
        <f t="shared" si="41"/>
        <v>0</v>
      </c>
      <c r="N82" s="36"/>
      <c r="O82" s="50">
        <f t="shared" si="42"/>
        <v>0</v>
      </c>
      <c r="P82" s="36"/>
      <c r="Q82" s="50">
        <f t="shared" si="43"/>
        <v>0</v>
      </c>
      <c r="R82" s="37"/>
      <c r="S82" s="38"/>
      <c r="T82" s="38"/>
      <c r="U82" s="38"/>
      <c r="V82" s="38"/>
      <c r="W82" s="55">
        <f t="shared" si="44"/>
        <v>0</v>
      </c>
    </row>
    <row r="83" spans="2:23" ht="13.5" thickBot="1" x14ac:dyDescent="0.25">
      <c r="B83" s="35"/>
      <c r="C83" s="50">
        <f t="shared" si="36"/>
        <v>0</v>
      </c>
      <c r="D83" s="533"/>
      <c r="E83" s="50">
        <f t="shared" si="37"/>
        <v>0</v>
      </c>
      <c r="F83" s="36"/>
      <c r="G83" s="50">
        <f t="shared" si="38"/>
        <v>0</v>
      </c>
      <c r="H83" s="36"/>
      <c r="I83" s="50">
        <f t="shared" si="39"/>
        <v>0</v>
      </c>
      <c r="J83" s="36"/>
      <c r="K83" s="50">
        <f t="shared" si="40"/>
        <v>0</v>
      </c>
      <c r="L83" s="36"/>
      <c r="M83" s="50">
        <f t="shared" si="41"/>
        <v>0</v>
      </c>
      <c r="N83" s="36"/>
      <c r="O83" s="50">
        <f t="shared" si="42"/>
        <v>0</v>
      </c>
      <c r="P83" s="36"/>
      <c r="Q83" s="50">
        <f t="shared" si="43"/>
        <v>0</v>
      </c>
      <c r="R83" s="37"/>
      <c r="S83" s="38"/>
      <c r="T83" s="38"/>
      <c r="U83" s="38"/>
      <c r="V83" s="38"/>
      <c r="W83" s="55">
        <f t="shared" si="44"/>
        <v>0</v>
      </c>
    </row>
    <row r="84" spans="2:23" ht="13.5" thickBot="1" x14ac:dyDescent="0.25"/>
    <row r="85" spans="2:23" ht="30.75" customHeight="1" thickBot="1" x14ac:dyDescent="0.25">
      <c r="C85" s="41"/>
      <c r="E85" s="41"/>
      <c r="F85" s="783" t="s">
        <v>220</v>
      </c>
      <c r="G85" s="784"/>
      <c r="H85" s="784"/>
      <c r="I85" s="784"/>
      <c r="J85" s="784"/>
      <c r="K85" s="784"/>
      <c r="L85" s="784"/>
      <c r="M85" s="784"/>
      <c r="N85" s="784"/>
      <c r="O85" s="784"/>
      <c r="P85" s="785"/>
      <c r="Q85" s="65"/>
    </row>
    <row r="86" spans="2:23" ht="39" customHeight="1" thickBot="1" x14ac:dyDescent="0.25">
      <c r="C86" s="41"/>
      <c r="E86" s="41"/>
      <c r="F86" s="66" t="str">
        <f>F5</f>
        <v>Building</v>
      </c>
      <c r="G86" s="50" t="s">
        <v>181</v>
      </c>
      <c r="H86" s="66" t="str">
        <f>H5</f>
        <v>Function/ Department</v>
      </c>
      <c r="I86" s="50" t="s">
        <v>181</v>
      </c>
      <c r="J86" s="66" t="str">
        <f>J5</f>
        <v>Process</v>
      </c>
      <c r="K86" s="50" t="s">
        <v>181</v>
      </c>
      <c r="L86" s="66" t="str">
        <f>L5</f>
        <v>Energy Form</v>
      </c>
      <c r="M86" s="50" t="s">
        <v>181</v>
      </c>
      <c r="N86" s="66" t="str">
        <f>N5</f>
        <v>Technology</v>
      </c>
      <c r="O86" s="50" t="s">
        <v>181</v>
      </c>
      <c r="P86" s="66" t="str">
        <f>P5</f>
        <v>Mode of Operation</v>
      </c>
      <c r="Q86" s="50" t="s">
        <v>181</v>
      </c>
    </row>
    <row r="87" spans="2:23" ht="27" customHeight="1" thickBot="1" x14ac:dyDescent="0.25">
      <c r="C87" s="41"/>
      <c r="E87" s="41"/>
      <c r="F87" s="39" t="s">
        <v>333</v>
      </c>
      <c r="G87" s="50">
        <f t="shared" ref="G87:G99" ca="1" si="45">SUMIF(F$6:G$83,F87,G$6:G$83)</f>
        <v>0</v>
      </c>
      <c r="H87" s="39" t="s">
        <v>333</v>
      </c>
      <c r="I87" s="50">
        <f t="shared" ref="I87:I99" ca="1" si="46">SUMIF(H$6:I$83,H87,I$6:I$83)</f>
        <v>0</v>
      </c>
      <c r="J87" s="67" t="s">
        <v>121</v>
      </c>
      <c r="K87" s="50">
        <f t="shared" ref="K87:K99" ca="1" si="47">SUMIF(J$6:K$83,J87,K$6:K$83)</f>
        <v>0</v>
      </c>
      <c r="L87" s="68" t="s">
        <v>65</v>
      </c>
      <c r="M87" s="50">
        <f t="shared" ref="M87:M99" ca="1" si="48">SUMIF(L$6:M$83,L87,M$6:M$83)</f>
        <v>15035930.68</v>
      </c>
      <c r="N87" s="68" t="s">
        <v>122</v>
      </c>
      <c r="O87" s="50">
        <f t="shared" ref="O87:O99" ca="1" si="49">SUMIF(N$6:O$83,N87,O$6:O$83)</f>
        <v>0</v>
      </c>
      <c r="P87" s="68" t="s">
        <v>128</v>
      </c>
      <c r="Q87" s="50">
        <f t="shared" ref="Q87:Q99" ca="1" si="50">SUMIF(P$6:Q$83,P87,Q$6:Q$83)</f>
        <v>0</v>
      </c>
    </row>
    <row r="88" spans="2:23" ht="13.5" thickBot="1" x14ac:dyDescent="0.25">
      <c r="C88" s="41"/>
      <c r="E88" s="41"/>
      <c r="F88" s="39" t="s">
        <v>334</v>
      </c>
      <c r="G88" s="50">
        <f t="shared" ca="1" si="45"/>
        <v>542555.39999999991</v>
      </c>
      <c r="H88" s="39" t="s">
        <v>334</v>
      </c>
      <c r="I88" s="50">
        <f t="shared" ca="1" si="46"/>
        <v>542555.39999999991</v>
      </c>
      <c r="J88" s="39" t="s">
        <v>334</v>
      </c>
      <c r="K88" s="50">
        <f t="shared" ca="1" si="47"/>
        <v>542555.39999999991</v>
      </c>
      <c r="L88" s="68" t="s">
        <v>131</v>
      </c>
      <c r="M88" s="50">
        <f t="shared" ca="1" si="48"/>
        <v>0</v>
      </c>
      <c r="N88" s="68" t="s">
        <v>125</v>
      </c>
      <c r="O88" s="50">
        <f t="shared" ca="1" si="49"/>
        <v>0</v>
      </c>
      <c r="P88" s="68" t="s">
        <v>123</v>
      </c>
      <c r="Q88" s="50">
        <f t="shared" ca="1" si="50"/>
        <v>2228774.92</v>
      </c>
    </row>
    <row r="89" spans="2:23" ht="27" customHeight="1" thickBot="1" x14ac:dyDescent="0.25">
      <c r="C89" s="41"/>
      <c r="E89" s="41"/>
      <c r="F89" s="39" t="s">
        <v>335</v>
      </c>
      <c r="G89" s="50">
        <f t="shared" ca="1" si="45"/>
        <v>1906779.21</v>
      </c>
      <c r="H89" s="39" t="s">
        <v>335</v>
      </c>
      <c r="I89" s="50">
        <f t="shared" ca="1" si="46"/>
        <v>1906779.21</v>
      </c>
      <c r="J89" s="39" t="s">
        <v>335</v>
      </c>
      <c r="K89" s="50">
        <f t="shared" ca="1" si="47"/>
        <v>1906779.21</v>
      </c>
      <c r="L89" s="68" t="s">
        <v>132</v>
      </c>
      <c r="M89" s="50">
        <f t="shared" ca="1" si="48"/>
        <v>0</v>
      </c>
      <c r="N89" s="68" t="s">
        <v>127</v>
      </c>
      <c r="O89" s="50">
        <f t="shared" ca="1" si="49"/>
        <v>7885721.5300000003</v>
      </c>
      <c r="P89" s="68" t="s">
        <v>126</v>
      </c>
      <c r="Q89" s="50">
        <f t="shared" ca="1" si="50"/>
        <v>3974847.8</v>
      </c>
    </row>
    <row r="90" spans="2:23" ht="26.25" customHeight="1" thickBot="1" x14ac:dyDescent="0.25">
      <c r="C90" s="41"/>
      <c r="E90" s="41"/>
      <c r="F90" s="39" t="s">
        <v>336</v>
      </c>
      <c r="G90" s="50">
        <f t="shared" ca="1" si="45"/>
        <v>3687748</v>
      </c>
      <c r="H90" s="39" t="s">
        <v>336</v>
      </c>
      <c r="I90" s="50">
        <f t="shared" ca="1" si="46"/>
        <v>3687748</v>
      </c>
      <c r="J90" s="39" t="s">
        <v>336</v>
      </c>
      <c r="K90" s="50">
        <f t="shared" ca="1" si="47"/>
        <v>3687748</v>
      </c>
      <c r="L90" s="68" t="s">
        <v>68</v>
      </c>
      <c r="M90" s="50">
        <f t="shared" ca="1" si="48"/>
        <v>0</v>
      </c>
      <c r="N90" s="68" t="s">
        <v>124</v>
      </c>
      <c r="O90" s="50">
        <f t="shared" ca="1" si="49"/>
        <v>0</v>
      </c>
      <c r="P90" s="68" t="s">
        <v>130</v>
      </c>
      <c r="Q90" s="50">
        <f t="shared" ca="1" si="50"/>
        <v>3161100.75</v>
      </c>
    </row>
    <row r="91" spans="2:23" ht="26.25" thickBot="1" x14ac:dyDescent="0.25">
      <c r="C91" s="41"/>
      <c r="E91" s="41"/>
      <c r="F91" s="40" t="s">
        <v>337</v>
      </c>
      <c r="G91" s="50">
        <f t="shared" ca="1" si="45"/>
        <v>1346704</v>
      </c>
      <c r="H91" s="40" t="s">
        <v>337</v>
      </c>
      <c r="I91" s="50">
        <f t="shared" ca="1" si="46"/>
        <v>1346704</v>
      </c>
      <c r="J91" s="40" t="s">
        <v>337</v>
      </c>
      <c r="K91" s="50">
        <f t="shared" ca="1" si="47"/>
        <v>1346704</v>
      </c>
      <c r="L91" s="66" t="s">
        <v>221</v>
      </c>
      <c r="M91" s="50">
        <f t="shared" ca="1" si="48"/>
        <v>0</v>
      </c>
      <c r="N91" s="68" t="s">
        <v>133</v>
      </c>
      <c r="O91" s="50">
        <f t="shared" ca="1" si="49"/>
        <v>4904059.1500000004</v>
      </c>
      <c r="P91" s="68" t="s">
        <v>129</v>
      </c>
      <c r="Q91" s="50">
        <f t="shared" ca="1" si="50"/>
        <v>5671207.21</v>
      </c>
    </row>
    <row r="92" spans="2:23" ht="13.5" thickBot="1" x14ac:dyDescent="0.25">
      <c r="C92" s="41"/>
      <c r="E92" s="41"/>
      <c r="F92" s="40" t="s">
        <v>338</v>
      </c>
      <c r="G92" s="50">
        <f t="shared" ca="1" si="45"/>
        <v>1748638.92</v>
      </c>
      <c r="H92" s="40" t="s">
        <v>338</v>
      </c>
      <c r="I92" s="50">
        <f t="shared" ca="1" si="46"/>
        <v>1748638.92</v>
      </c>
      <c r="J92" s="40" t="s">
        <v>338</v>
      </c>
      <c r="K92" s="50">
        <f t="shared" ca="1" si="47"/>
        <v>1748638.92</v>
      </c>
      <c r="L92" s="68"/>
      <c r="M92" s="50">
        <f t="shared" ca="1" si="48"/>
        <v>0</v>
      </c>
      <c r="N92" s="69" t="s">
        <v>169</v>
      </c>
      <c r="O92" s="50">
        <f t="shared" ca="1" si="49"/>
        <v>2246150</v>
      </c>
      <c r="P92" s="68"/>
      <c r="Q92" s="50">
        <f t="shared" ca="1" si="50"/>
        <v>0</v>
      </c>
    </row>
    <row r="93" spans="2:23" ht="13.5" thickBot="1" x14ac:dyDescent="0.25">
      <c r="C93" s="41"/>
      <c r="E93" s="41"/>
      <c r="F93" s="40" t="s">
        <v>339</v>
      </c>
      <c r="G93" s="50">
        <f t="shared" ca="1" si="45"/>
        <v>5150009.1499999994</v>
      </c>
      <c r="H93" s="40" t="s">
        <v>339</v>
      </c>
      <c r="I93" s="50">
        <f t="shared" ca="1" si="46"/>
        <v>5150009.1499999994</v>
      </c>
      <c r="J93" s="40" t="s">
        <v>339</v>
      </c>
      <c r="K93" s="50">
        <f t="shared" ca="1" si="47"/>
        <v>5150009.1499999994</v>
      </c>
      <c r="L93" s="68"/>
      <c r="M93" s="50">
        <f t="shared" ca="1" si="48"/>
        <v>0</v>
      </c>
      <c r="N93" s="68"/>
      <c r="O93" s="50">
        <f t="shared" ca="1" si="49"/>
        <v>0</v>
      </c>
      <c r="P93" s="68"/>
      <c r="Q93" s="50">
        <f t="shared" ca="1" si="50"/>
        <v>0</v>
      </c>
    </row>
    <row r="94" spans="2:23" ht="13.5" thickBot="1" x14ac:dyDescent="0.25">
      <c r="C94" s="41"/>
      <c r="E94" s="41"/>
      <c r="F94" s="40" t="s">
        <v>340</v>
      </c>
      <c r="G94" s="50">
        <f t="shared" ca="1" si="45"/>
        <v>0</v>
      </c>
      <c r="H94" s="40" t="s">
        <v>340</v>
      </c>
      <c r="I94" s="50">
        <f t="shared" ca="1" si="46"/>
        <v>0</v>
      </c>
      <c r="J94" s="40" t="s">
        <v>340</v>
      </c>
      <c r="K94" s="50">
        <f t="shared" ca="1" si="47"/>
        <v>0</v>
      </c>
      <c r="L94" s="68"/>
      <c r="M94" s="50">
        <f t="shared" ca="1" si="48"/>
        <v>0</v>
      </c>
      <c r="N94" s="69"/>
      <c r="O94" s="50">
        <f t="shared" ca="1" si="49"/>
        <v>0</v>
      </c>
      <c r="P94" s="68"/>
      <c r="Q94" s="50">
        <f t="shared" ca="1" si="50"/>
        <v>0</v>
      </c>
    </row>
    <row r="95" spans="2:23" ht="13.5" thickBot="1" x14ac:dyDescent="0.25">
      <c r="C95" s="41"/>
      <c r="E95" s="41"/>
      <c r="F95" s="40" t="s">
        <v>341</v>
      </c>
      <c r="G95" s="50">
        <f t="shared" ca="1" si="45"/>
        <v>0</v>
      </c>
      <c r="H95" s="40" t="s">
        <v>341</v>
      </c>
      <c r="I95" s="50">
        <f t="shared" ca="1" si="46"/>
        <v>0</v>
      </c>
      <c r="J95" s="40" t="s">
        <v>341</v>
      </c>
      <c r="K95" s="50">
        <f t="shared" ca="1" si="47"/>
        <v>0</v>
      </c>
      <c r="L95" s="68"/>
      <c r="M95" s="50">
        <f t="shared" ca="1" si="48"/>
        <v>0</v>
      </c>
      <c r="N95" s="68"/>
      <c r="O95" s="50">
        <f t="shared" ca="1" si="49"/>
        <v>0</v>
      </c>
      <c r="P95" s="68"/>
      <c r="Q95" s="50">
        <f t="shared" ca="1" si="50"/>
        <v>0</v>
      </c>
    </row>
    <row r="96" spans="2:23" ht="13.5" thickBot="1" x14ac:dyDescent="0.25">
      <c r="C96" s="41"/>
      <c r="E96" s="41"/>
      <c r="F96" s="40" t="s">
        <v>342</v>
      </c>
      <c r="G96" s="50">
        <f t="shared" ca="1" si="45"/>
        <v>0</v>
      </c>
      <c r="H96" s="40" t="s">
        <v>342</v>
      </c>
      <c r="I96" s="50">
        <f t="shared" ca="1" si="46"/>
        <v>0</v>
      </c>
      <c r="J96" s="40" t="s">
        <v>342</v>
      </c>
      <c r="K96" s="50">
        <f t="shared" ca="1" si="47"/>
        <v>0</v>
      </c>
      <c r="L96" s="68"/>
      <c r="M96" s="50">
        <f t="shared" ca="1" si="48"/>
        <v>0</v>
      </c>
      <c r="N96" s="68"/>
      <c r="O96" s="50">
        <f t="shared" ca="1" si="49"/>
        <v>0</v>
      </c>
      <c r="P96" s="68"/>
      <c r="Q96" s="50">
        <f t="shared" ca="1" si="50"/>
        <v>0</v>
      </c>
    </row>
    <row r="97" spans="3:17" ht="13.5" thickBot="1" x14ac:dyDescent="0.25">
      <c r="C97" s="41"/>
      <c r="E97" s="41"/>
      <c r="F97" s="40" t="s">
        <v>343</v>
      </c>
      <c r="G97" s="50">
        <f t="shared" ca="1" si="45"/>
        <v>0</v>
      </c>
      <c r="H97" s="40" t="s">
        <v>343</v>
      </c>
      <c r="I97" s="50">
        <f t="shared" ca="1" si="46"/>
        <v>0</v>
      </c>
      <c r="J97" s="40" t="s">
        <v>343</v>
      </c>
      <c r="K97" s="50">
        <f t="shared" ca="1" si="47"/>
        <v>0</v>
      </c>
      <c r="L97" s="68"/>
      <c r="M97" s="50">
        <f t="shared" ca="1" si="48"/>
        <v>0</v>
      </c>
      <c r="N97" s="69"/>
      <c r="O97" s="50">
        <f t="shared" ca="1" si="49"/>
        <v>0</v>
      </c>
      <c r="P97" s="68"/>
      <c r="Q97" s="50">
        <f t="shared" ca="1" si="50"/>
        <v>0</v>
      </c>
    </row>
    <row r="98" spans="3:17" ht="13.5" thickBot="1" x14ac:dyDescent="0.25">
      <c r="C98" s="41"/>
      <c r="E98" s="41"/>
      <c r="F98" s="40" t="s">
        <v>344</v>
      </c>
      <c r="G98" s="50">
        <f t="shared" ca="1" si="45"/>
        <v>653496</v>
      </c>
      <c r="H98" s="40" t="s">
        <v>344</v>
      </c>
      <c r="I98" s="50">
        <f t="shared" ca="1" si="46"/>
        <v>653496</v>
      </c>
      <c r="J98" s="40" t="s">
        <v>344</v>
      </c>
      <c r="K98" s="50">
        <f t="shared" ca="1" si="47"/>
        <v>653496</v>
      </c>
      <c r="L98" s="68"/>
      <c r="M98" s="50">
        <f t="shared" ca="1" si="48"/>
        <v>0</v>
      </c>
      <c r="N98" s="68"/>
      <c r="O98" s="50">
        <f t="shared" ca="1" si="49"/>
        <v>0</v>
      </c>
      <c r="P98" s="68"/>
      <c r="Q98" s="50">
        <f t="shared" ca="1" si="50"/>
        <v>0</v>
      </c>
    </row>
    <row r="99" spans="3:17" ht="13.5" thickBot="1" x14ac:dyDescent="0.25">
      <c r="C99" s="41"/>
      <c r="E99" s="41"/>
      <c r="F99" s="40" t="s">
        <v>345</v>
      </c>
      <c r="G99" s="50">
        <f t="shared" ca="1" si="45"/>
        <v>0</v>
      </c>
      <c r="H99" s="40" t="s">
        <v>345</v>
      </c>
      <c r="I99" s="50">
        <f t="shared" ca="1" si="46"/>
        <v>0</v>
      </c>
      <c r="J99" s="40" t="s">
        <v>345</v>
      </c>
      <c r="K99" s="50">
        <f t="shared" ca="1" si="47"/>
        <v>0</v>
      </c>
      <c r="L99" s="68"/>
      <c r="M99" s="50">
        <f t="shared" ca="1" si="48"/>
        <v>0</v>
      </c>
      <c r="N99" s="68"/>
      <c r="O99" s="50">
        <f t="shared" ca="1" si="49"/>
        <v>0</v>
      </c>
      <c r="P99" s="68"/>
      <c r="Q99" s="50">
        <f t="shared" ca="1" si="50"/>
        <v>0</v>
      </c>
    </row>
    <row r="100" spans="3:17" x14ac:dyDescent="0.2">
      <c r="C100" s="41"/>
      <c r="E100" s="41"/>
    </row>
    <row r="102" spans="3:17" ht="12.75" customHeight="1" x14ac:dyDescent="0.2">
      <c r="C102" s="41"/>
      <c r="E102" s="41"/>
      <c r="G102" s="41"/>
      <c r="I102" s="41"/>
      <c r="K102" s="41"/>
      <c r="M102" s="41"/>
    </row>
    <row r="103" spans="3:17" x14ac:dyDescent="0.2">
      <c r="C103" s="41"/>
      <c r="E103" s="41"/>
      <c r="G103" s="41"/>
      <c r="I103" s="41"/>
      <c r="K103" s="41"/>
      <c r="M103" s="41"/>
    </row>
    <row r="104" spans="3:17" ht="12.75" customHeight="1" x14ac:dyDescent="0.2">
      <c r="C104" s="41"/>
      <c r="E104" s="41"/>
      <c r="G104" s="41"/>
      <c r="I104" s="41"/>
      <c r="K104" s="41"/>
      <c r="M104" s="41"/>
    </row>
    <row r="105" spans="3:17" x14ac:dyDescent="0.2">
      <c r="C105" s="41"/>
      <c r="E105" s="41"/>
      <c r="G105" s="41"/>
      <c r="I105" s="41"/>
      <c r="K105" s="41"/>
      <c r="M105" s="41"/>
    </row>
    <row r="106" spans="3:17" ht="12.75" customHeight="1" x14ac:dyDescent="0.2">
      <c r="C106" s="41"/>
      <c r="E106" s="41"/>
      <c r="G106" s="41"/>
      <c r="I106" s="41"/>
      <c r="K106" s="41"/>
      <c r="M106" s="41"/>
    </row>
    <row r="107" spans="3:17" x14ac:dyDescent="0.2">
      <c r="C107" s="41"/>
      <c r="E107" s="41"/>
      <c r="G107" s="41"/>
      <c r="I107" s="41"/>
      <c r="K107" s="41"/>
      <c r="M107" s="41"/>
    </row>
    <row r="108" spans="3:17" ht="12.75" customHeight="1" x14ac:dyDescent="0.2">
      <c r="C108" s="41"/>
      <c r="E108" s="41"/>
      <c r="G108" s="41"/>
      <c r="I108" s="41"/>
      <c r="K108" s="41"/>
      <c r="M108" s="41"/>
    </row>
  </sheetData>
  <sheetProtection sheet="1" objects="1" scenarios="1"/>
  <mergeCells count="8">
    <mergeCell ref="F85:P85"/>
    <mergeCell ref="Y9:AC9"/>
    <mergeCell ref="Y7:AC7"/>
    <mergeCell ref="B2:B3"/>
    <mergeCell ref="G2:T2"/>
    <mergeCell ref="R3:V3"/>
    <mergeCell ref="D2:D3"/>
    <mergeCell ref="F3:P3"/>
  </mergeCells>
  <phoneticPr fontId="26" type="noConversion"/>
  <dataValidations count="6">
    <dataValidation type="list" allowBlank="1" showInputMessage="1" showErrorMessage="1" sqref="F6:F83" xr:uid="{00000000-0002-0000-0800-000000000000}">
      <formula1>List1</formula1>
    </dataValidation>
    <dataValidation type="list" allowBlank="1" showInputMessage="1" showErrorMessage="1" sqref="H6:H83" xr:uid="{00000000-0002-0000-0800-000001000000}">
      <formula1>List2</formula1>
    </dataValidation>
    <dataValidation type="list" allowBlank="1" showInputMessage="1" showErrorMessage="1" sqref="J6:J83" xr:uid="{00000000-0002-0000-0800-000002000000}">
      <formula1>List3</formula1>
    </dataValidation>
    <dataValidation type="list" allowBlank="1" showInputMessage="1" showErrorMessage="1" sqref="L6:L83" xr:uid="{00000000-0002-0000-0800-000003000000}">
      <formula1>List4</formula1>
    </dataValidation>
    <dataValidation type="list" allowBlank="1" showInputMessage="1" showErrorMessage="1" sqref="N6:N83" xr:uid="{00000000-0002-0000-0800-000004000000}">
      <formula1>List5</formula1>
    </dataValidation>
    <dataValidation type="list" allowBlank="1" showInputMessage="1" showErrorMessage="1" sqref="P6:P83" xr:uid="{00000000-0002-0000-0800-000005000000}">
      <formula1>List6</formula1>
    </dataValidation>
  </dataValidations>
  <hyperlinks>
    <hyperlink ref="Y7" location="Start!R1C1" display="Click here to jump back to start page" xr:uid="{00000000-0004-0000-0800-000000000000}"/>
    <hyperlink ref="Y9:AC9" location="'(Mapping)'!R1C1" display="Click here to jump to diagrams" xr:uid="{00000000-0004-0000-0800-000001000000}"/>
  </hyperlinks>
  <pageMargins left="0.75" right="0.75" top="1" bottom="1" header="0" footer="0"/>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21</vt:i4>
      </vt:variant>
    </vt:vector>
  </HeadingPairs>
  <TitlesOfParts>
    <vt:vector size="45" baseType="lpstr">
      <vt:lpstr>How-to</vt:lpstr>
      <vt:lpstr>Start</vt:lpstr>
      <vt:lpstr>Electricity</vt:lpstr>
      <vt:lpstr>Natural Gas</vt:lpstr>
      <vt:lpstr>LPG</vt:lpstr>
      <vt:lpstr>Oil</vt:lpstr>
      <vt:lpstr>Sum</vt:lpstr>
      <vt:lpstr>KPI</vt:lpstr>
      <vt:lpstr>Mapping</vt:lpstr>
      <vt:lpstr>Annual</vt:lpstr>
      <vt:lpstr>Details</vt:lpstr>
      <vt:lpstr>Instruction GHG calculator</vt:lpstr>
      <vt:lpstr>GHG Calculator</vt:lpstr>
      <vt:lpstr>CO2 from electricity</vt:lpstr>
      <vt:lpstr>(Electricity)</vt:lpstr>
      <vt:lpstr>(Natural Gas)</vt:lpstr>
      <vt:lpstr>(LPG)</vt:lpstr>
      <vt:lpstr>(Oil)</vt:lpstr>
      <vt:lpstr>(Sum)</vt:lpstr>
      <vt:lpstr>(Sum_Pies)</vt:lpstr>
      <vt:lpstr>(Mapping)</vt:lpstr>
      <vt:lpstr>(KPI)</vt:lpstr>
      <vt:lpstr>(Annual)</vt:lpstr>
      <vt:lpstr>(Details)</vt:lpstr>
      <vt:lpstr>green</vt:lpstr>
      <vt:lpstr>List1</vt:lpstr>
      <vt:lpstr>List2</vt:lpstr>
      <vt:lpstr>List3</vt:lpstr>
      <vt:lpstr>List4</vt:lpstr>
      <vt:lpstr>List5</vt:lpstr>
      <vt:lpstr>List6</vt:lpstr>
      <vt:lpstr>oiltype</vt:lpstr>
      <vt:lpstr>'(Electricity)'!Print_Area</vt:lpstr>
      <vt:lpstr>Annual!Print_Area</vt:lpstr>
      <vt:lpstr>Details!Print_Area</vt:lpstr>
      <vt:lpstr>Electricity!Print_Area</vt:lpstr>
      <vt:lpstr>KPI!Print_Area</vt:lpstr>
      <vt:lpstr>LPG!Print_Area</vt:lpstr>
      <vt:lpstr>Mapping!Print_Area</vt:lpstr>
      <vt:lpstr>'Natural Gas'!Print_Area</vt:lpstr>
      <vt:lpstr>Oil!Print_Area</vt:lpstr>
      <vt:lpstr>Start!Print_Area</vt:lpstr>
      <vt:lpstr>Sum!Print_Area</vt:lpstr>
      <vt:lpstr>KPI!Print_Titles</vt:lpstr>
      <vt:lpstr>'Natural Gas'!Print_Titles</vt:lpstr>
    </vt:vector>
  </TitlesOfParts>
  <Manager>Bo Kuraa</Manager>
  <Company>BKU Consult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 Kuraa</dc:creator>
  <cp:lastModifiedBy>Ayman </cp:lastModifiedBy>
  <cp:lastPrinted>2018-09-14T19:15:39Z</cp:lastPrinted>
  <dcterms:created xsi:type="dcterms:W3CDTF">2007-09-17T14:44:40Z</dcterms:created>
  <dcterms:modified xsi:type="dcterms:W3CDTF">2019-07-25T08:34:18Z</dcterms:modified>
</cp:coreProperties>
</file>